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90" yWindow="300" windowWidth="22650" windowHeight="9480"/>
  </bookViews>
  <sheets>
    <sheet name="9 мес 2020" sheetId="1" r:id="rId1"/>
  </sheets>
  <definedNames>
    <definedName name="_xlnm.Print_Area" localSheetId="0">'9 мес 2020'!$A$1:$H$1864</definedName>
  </definedNames>
  <calcPr calcId="144525"/>
</workbook>
</file>

<file path=xl/calcChain.xml><?xml version="1.0" encoding="utf-8"?>
<calcChain xmlns="http://schemas.openxmlformats.org/spreadsheetml/2006/main">
  <c r="G228" i="1" l="1"/>
  <c r="G227" i="1" s="1"/>
  <c r="G229" i="1"/>
  <c r="G230" i="1"/>
  <c r="G143" i="1"/>
  <c r="G1455" i="1"/>
  <c r="G1454" i="1" s="1"/>
  <c r="G1329" i="1"/>
  <c r="G1254" i="1"/>
  <c r="G1253" i="1" s="1"/>
  <c r="G1252" i="1" s="1"/>
  <c r="G1247" i="1"/>
  <c r="G1240" i="1"/>
  <c r="G1239" i="1" s="1"/>
  <c r="G1238" i="1"/>
  <c r="H1238" i="1" s="1"/>
  <c r="G1227" i="1"/>
  <c r="G1226" i="1" s="1"/>
  <c r="G1225" i="1" s="1"/>
  <c r="G1224" i="1"/>
  <c r="G1223" i="1" s="1"/>
  <c r="G1222" i="1" s="1"/>
  <c r="G1219" i="1"/>
  <c r="G1207" i="1"/>
  <c r="G1206" i="1" s="1"/>
  <c r="G1142" i="1"/>
  <c r="G1140" i="1" s="1"/>
  <c r="G1135" i="1"/>
  <c r="G1133" i="1"/>
  <c r="G1071" i="1"/>
  <c r="H1071" i="1" s="1"/>
  <c r="G1060" i="1"/>
  <c r="G1059" i="1" s="1"/>
  <c r="G1009" i="1"/>
  <c r="G1008" i="1" s="1"/>
  <c r="G969" i="1"/>
  <c r="H969" i="1" s="1"/>
  <c r="G963" i="1"/>
  <c r="G962" i="1" s="1"/>
  <c r="G955" i="1"/>
  <c r="G954" i="1" s="1"/>
  <c r="G953" i="1" s="1"/>
  <c r="G938" i="1"/>
  <c r="H938" i="1" s="1"/>
  <c r="G928" i="1"/>
  <c r="G927" i="1" s="1"/>
  <c r="G803" i="1"/>
  <c r="G766" i="1"/>
  <c r="H766" i="1" s="1"/>
  <c r="G691" i="1"/>
  <c r="H691" i="1" s="1"/>
  <c r="G681" i="1"/>
  <c r="G676" i="1"/>
  <c r="G662" i="1"/>
  <c r="G661" i="1" s="1"/>
  <c r="G654" i="1"/>
  <c r="G653" i="1" s="1"/>
  <c r="G523" i="1"/>
  <c r="H523" i="1" s="1"/>
  <c r="G318" i="1"/>
  <c r="G317" i="1" s="1"/>
  <c r="G308" i="1"/>
  <c r="G296" i="1"/>
  <c r="G295" i="1" s="1"/>
  <c r="G197" i="1"/>
  <c r="G1861" i="1"/>
  <c r="G1860" i="1" s="1"/>
  <c r="G1859" i="1" s="1"/>
  <c r="G1857" i="1"/>
  <c r="G1856" i="1" s="1"/>
  <c r="G1854" i="1"/>
  <c r="G1853" i="1" s="1"/>
  <c r="G1851" i="1"/>
  <c r="G1850" i="1" s="1"/>
  <c r="G1848" i="1"/>
  <c r="G1847" i="1" s="1"/>
  <c r="G1845" i="1"/>
  <c r="G1844" i="1" s="1"/>
  <c r="G1843" i="1" s="1"/>
  <c r="G1841" i="1"/>
  <c r="G1840" i="1"/>
  <c r="G1838" i="1"/>
  <c r="G1837" i="1"/>
  <c r="G1836" i="1"/>
  <c r="G1830" i="1"/>
  <c r="G1827" i="1"/>
  <c r="G1826" i="1" s="1"/>
  <c r="G1825" i="1" s="1"/>
  <c r="G1824" i="1"/>
  <c r="G1820" i="1"/>
  <c r="G1819" i="1"/>
  <c r="G1817" i="1"/>
  <c r="G1816" i="1"/>
  <c r="G1814" i="1"/>
  <c r="G1813" i="1"/>
  <c r="G1811" i="1"/>
  <c r="G1810" i="1"/>
  <c r="G1808" i="1"/>
  <c r="G1807" i="1"/>
  <c r="G1805" i="1"/>
  <c r="G1804" i="1"/>
  <c r="G1802" i="1"/>
  <c r="G1801" i="1"/>
  <c r="H1801" i="1" s="1"/>
  <c r="G1799" i="1"/>
  <c r="G1798" i="1"/>
  <c r="G1794" i="1"/>
  <c r="G1793" i="1"/>
  <c r="G1792" i="1" s="1"/>
  <c r="G1791" i="1" s="1"/>
  <c r="G1789" i="1"/>
  <c r="G1788" i="1" s="1"/>
  <c r="G1787" i="1"/>
  <c r="G1786" i="1" s="1"/>
  <c r="G1783" i="1"/>
  <c r="G1782" i="1"/>
  <c r="G1781" i="1" s="1"/>
  <c r="G1780" i="1" s="1"/>
  <c r="G1778" i="1"/>
  <c r="G1777" i="1"/>
  <c r="G1776" i="1" s="1"/>
  <c r="G1775" i="1" s="1"/>
  <c r="G1774" i="1" s="1"/>
  <c r="G1770" i="1"/>
  <c r="G1769" i="1"/>
  <c r="G1768" i="1" s="1"/>
  <c r="G1767" i="1" s="1"/>
  <c r="G1765" i="1"/>
  <c r="G1764" i="1"/>
  <c r="G1763" i="1"/>
  <c r="G1762" i="1" s="1"/>
  <c r="G1761" i="1" s="1"/>
  <c r="G1760" i="1" s="1"/>
  <c r="G1759" i="1" s="1"/>
  <c r="G1757" i="1"/>
  <c r="G1756" i="1"/>
  <c r="G1755" i="1" s="1"/>
  <c r="G1754" i="1"/>
  <c r="G1752" i="1"/>
  <c r="G1750" i="1"/>
  <c r="G1749" i="1" s="1"/>
  <c r="G1747" i="1"/>
  <c r="G1744" i="1" s="1"/>
  <c r="G1745" i="1"/>
  <c r="G1740" i="1"/>
  <c r="G1739" i="1" s="1"/>
  <c r="G1734" i="1"/>
  <c r="G1733" i="1"/>
  <c r="G1731" i="1"/>
  <c r="G1729" i="1"/>
  <c r="G1721" i="1"/>
  <c r="G1720" i="1" s="1"/>
  <c r="G1719" i="1" s="1"/>
  <c r="G1718" i="1" s="1"/>
  <c r="G1716" i="1"/>
  <c r="G1715" i="1" s="1"/>
  <c r="G1714" i="1" s="1"/>
  <c r="G1713" i="1" s="1"/>
  <c r="G1710" i="1"/>
  <c r="G1709" i="1"/>
  <c r="G1708" i="1" s="1"/>
  <c r="G1706" i="1"/>
  <c r="G1700" i="1"/>
  <c r="G1699" i="1" s="1"/>
  <c r="G1698" i="1"/>
  <c r="G1697" i="1" s="1"/>
  <c r="G1695" i="1"/>
  <c r="G1692" i="1"/>
  <c r="G1691" i="1"/>
  <c r="G1689" i="1"/>
  <c r="G1688" i="1" s="1"/>
  <c r="G1687" i="1" s="1"/>
  <c r="G1686" i="1" s="1"/>
  <c r="G1684" i="1"/>
  <c r="G1683" i="1" s="1"/>
  <c r="G1682" i="1" s="1"/>
  <c r="G1681" i="1" s="1"/>
  <c r="G1680" i="1" s="1"/>
  <c r="G1678" i="1"/>
  <c r="G1677" i="1" s="1"/>
  <c r="G1676" i="1" s="1"/>
  <c r="G1675" i="1" s="1"/>
  <c r="G1674" i="1" s="1"/>
  <c r="G1672" i="1"/>
  <c r="G1671" i="1" s="1"/>
  <c r="G1670" i="1" s="1"/>
  <c r="G1669" i="1" s="1"/>
  <c r="G1666" i="1"/>
  <c r="G1665" i="1" s="1"/>
  <c r="G1664" i="1" s="1"/>
  <c r="G1661" i="1" s="1"/>
  <c r="G1660" i="1" s="1"/>
  <c r="G1662" i="1"/>
  <c r="G1658" i="1"/>
  <c r="G1657" i="1" s="1"/>
  <c r="G1655" i="1"/>
  <c r="G1654" i="1" s="1"/>
  <c r="G1652" i="1"/>
  <c r="G1651" i="1" s="1"/>
  <c r="G1649" i="1"/>
  <c r="G1648" i="1" s="1"/>
  <c r="G1646" i="1"/>
  <c r="G1645" i="1"/>
  <c r="G1641" i="1"/>
  <c r="G1638" i="1" s="1"/>
  <c r="G1842" i="1" s="1"/>
  <c r="G1639" i="1"/>
  <c r="G1636" i="1"/>
  <c r="G1635" i="1" s="1"/>
  <c r="G1634" i="1" s="1"/>
  <c r="G1633" i="1" s="1"/>
  <c r="G1632" i="1" s="1"/>
  <c r="G1629" i="1"/>
  <c r="G1624" i="1" s="1"/>
  <c r="G1625" i="1"/>
  <c r="G1835" i="1" s="1"/>
  <c r="G1619" i="1"/>
  <c r="G1829" i="1" s="1"/>
  <c r="G1613" i="1"/>
  <c r="G1823" i="1" s="1"/>
  <c r="G1612" i="1"/>
  <c r="G1822" i="1" s="1"/>
  <c r="G1609" i="1"/>
  <c r="G1608" i="1" s="1"/>
  <c r="G1607" i="1" s="1"/>
  <c r="G1606" i="1" s="1"/>
  <c r="G1604" i="1"/>
  <c r="G1603" i="1"/>
  <c r="G1602" i="1"/>
  <c r="G1594" i="1"/>
  <c r="G1592" i="1"/>
  <c r="G1591" i="1" s="1"/>
  <c r="G1589" i="1"/>
  <c r="G1587" i="1"/>
  <c r="G1586" i="1" s="1"/>
  <c r="G1582" i="1"/>
  <c r="G1580" i="1"/>
  <c r="G1577" i="1"/>
  <c r="G1576" i="1" s="1"/>
  <c r="G1571" i="1"/>
  <c r="G1570" i="1" s="1"/>
  <c r="G1569" i="1" s="1"/>
  <c r="G1567" i="1"/>
  <c r="G1565" i="1"/>
  <c r="G1561" i="1"/>
  <c r="G1560" i="1" s="1"/>
  <c r="G1557" i="1"/>
  <c r="G1555" i="1"/>
  <c r="G1554" i="1" s="1"/>
  <c r="H1554" i="1" s="1"/>
  <c r="G1552" i="1"/>
  <c r="G1551" i="1" s="1"/>
  <c r="G1549" i="1"/>
  <c r="H1549" i="1" s="1"/>
  <c r="G1547" i="1"/>
  <c r="G1542" i="1"/>
  <c r="G1535" i="1"/>
  <c r="G1534" i="1" s="1"/>
  <c r="G1532" i="1"/>
  <c r="G1531" i="1" s="1"/>
  <c r="G1530" i="1" s="1"/>
  <c r="G1528" i="1"/>
  <c r="G1527" i="1"/>
  <c r="G1526" i="1" s="1"/>
  <c r="G1521" i="1"/>
  <c r="G1519" i="1"/>
  <c r="G1518" i="1" s="1"/>
  <c r="G1517" i="1" s="1"/>
  <c r="G1515" i="1"/>
  <c r="G1514" i="1"/>
  <c r="G1513" i="1" s="1"/>
  <c r="G1509" i="1"/>
  <c r="G1508" i="1" s="1"/>
  <c r="G1507" i="1" s="1"/>
  <c r="G1506" i="1" s="1"/>
  <c r="G1505" i="1" s="1"/>
  <c r="G1504" i="1" s="1"/>
  <c r="G1503" i="1" s="1"/>
  <c r="G1501" i="1"/>
  <c r="G1500" i="1" s="1"/>
  <c r="G1499" i="1"/>
  <c r="G1498" i="1"/>
  <c r="G1497" i="1" s="1"/>
  <c r="G1495" i="1"/>
  <c r="G1494" i="1" s="1"/>
  <c r="G1492" i="1"/>
  <c r="G1491" i="1" s="1"/>
  <c r="G1489" i="1"/>
  <c r="G1488" i="1" s="1"/>
  <c r="G1486" i="1"/>
  <c r="G1485" i="1" s="1"/>
  <c r="G1482" i="1"/>
  <c r="G1481" i="1" s="1"/>
  <c r="G1479" i="1"/>
  <c r="G1478" i="1" s="1"/>
  <c r="G1476" i="1"/>
  <c r="G1475" i="1" s="1"/>
  <c r="G1473" i="1"/>
  <c r="G1472" i="1" s="1"/>
  <c r="G1467" i="1"/>
  <c r="G1466" i="1" s="1"/>
  <c r="G1464" i="1"/>
  <c r="G1463" i="1" s="1"/>
  <c r="G1458" i="1"/>
  <c r="G1456" i="1"/>
  <c r="G1447" i="1"/>
  <c r="G1446" i="1"/>
  <c r="G1445" i="1" s="1"/>
  <c r="G1444" i="1" s="1"/>
  <c r="G1443" i="1" s="1"/>
  <c r="G1442" i="1" s="1"/>
  <c r="G1441" i="1" s="1"/>
  <c r="G1439" i="1"/>
  <c r="G1438" i="1" s="1"/>
  <c r="G1436" i="1"/>
  <c r="G1435" i="1" s="1"/>
  <c r="G1433" i="1"/>
  <c r="G1432" i="1"/>
  <c r="G1431" i="1" s="1"/>
  <c r="G1429" i="1"/>
  <c r="G1427" i="1"/>
  <c r="G1421" i="1"/>
  <c r="G1420" i="1" s="1"/>
  <c r="G1419" i="1"/>
  <c r="G1418" i="1" s="1"/>
  <c r="G1417" i="1"/>
  <c r="G1416" i="1" s="1"/>
  <c r="G1414" i="1"/>
  <c r="G1412" i="1"/>
  <c r="G1405" i="1"/>
  <c r="G1404" i="1" s="1"/>
  <c r="G1403" i="1" s="1"/>
  <c r="G1402" i="1"/>
  <c r="G1400" i="1"/>
  <c r="G1398" i="1"/>
  <c r="G1397" i="1" s="1"/>
  <c r="G1396" i="1"/>
  <c r="G1395" i="1" s="1"/>
  <c r="G1392" i="1"/>
  <c r="G1391" i="1"/>
  <c r="G1390" i="1" s="1"/>
  <c r="G1386" i="1"/>
  <c r="G1385" i="1" s="1"/>
  <c r="G1380" i="1"/>
  <c r="G1379" i="1" s="1"/>
  <c r="G1377" i="1"/>
  <c r="G1376" i="1" s="1"/>
  <c r="G1375" i="1" s="1"/>
  <c r="G1374" i="1" s="1"/>
  <c r="G1373" i="1" s="1"/>
  <c r="G1369" i="1"/>
  <c r="G1368" i="1" s="1"/>
  <c r="G1367" i="1"/>
  <c r="G1366" i="1" s="1"/>
  <c r="G1365" i="1" s="1"/>
  <c r="G1363" i="1"/>
  <c r="G1362" i="1" s="1"/>
  <c r="G1360" i="1"/>
  <c r="G1359" i="1" s="1"/>
  <c r="G1358" i="1" s="1"/>
  <c r="G1357" i="1"/>
  <c r="G1356" i="1"/>
  <c r="G1353" i="1"/>
  <c r="G1351" i="1"/>
  <c r="G1350" i="1"/>
  <c r="G1349" i="1" s="1"/>
  <c r="G1345" i="1"/>
  <c r="G1344" i="1" s="1"/>
  <c r="G1343" i="1" s="1"/>
  <c r="G1342" i="1" s="1"/>
  <c r="G1340" i="1"/>
  <c r="G1339" i="1" s="1"/>
  <c r="G1338" i="1" s="1"/>
  <c r="G1335" i="1"/>
  <c r="G1334" i="1"/>
  <c r="G1332" i="1"/>
  <c r="G1330" i="1"/>
  <c r="G1327" i="1"/>
  <c r="G1326" i="1" s="1"/>
  <c r="G1325" i="1" s="1"/>
  <c r="G1322" i="1"/>
  <c r="G1321" i="1" s="1"/>
  <c r="G1318" i="1"/>
  <c r="G1316" i="1"/>
  <c r="G1314" i="1"/>
  <c r="G1313" i="1" s="1"/>
  <c r="G1310" i="1"/>
  <c r="G1308" i="1"/>
  <c r="G1303" i="1"/>
  <c r="G1302" i="1" s="1"/>
  <c r="G1301" i="1"/>
  <c r="G1299" i="1" s="1"/>
  <c r="G1297" i="1"/>
  <c r="G1291" i="1"/>
  <c r="G1290" i="1" s="1"/>
  <c r="G1289" i="1" s="1"/>
  <c r="G1288" i="1" s="1"/>
  <c r="G1287" i="1" s="1"/>
  <c r="G1284" i="1"/>
  <c r="G1281" i="1"/>
  <c r="G1280" i="1" s="1"/>
  <c r="G1277" i="1" s="1"/>
  <c r="G1278" i="1"/>
  <c r="G1275" i="1"/>
  <c r="G1274" i="1" s="1"/>
  <c r="G1272" i="1"/>
  <c r="G1271" i="1" s="1"/>
  <c r="G1270" i="1" s="1"/>
  <c r="G1268" i="1"/>
  <c r="G1267" i="1" s="1"/>
  <c r="G1265" i="1"/>
  <c r="G1264" i="1" s="1"/>
  <c r="G1262" i="1"/>
  <c r="G1260" i="1"/>
  <c r="G1259" i="1" s="1"/>
  <c r="G1257" i="1"/>
  <c r="G1255" i="1"/>
  <c r="G1250" i="1"/>
  <c r="G1249" i="1" s="1"/>
  <c r="G1248" i="1"/>
  <c r="G1243" i="1"/>
  <c r="G1241" i="1"/>
  <c r="G1234" i="1"/>
  <c r="G1233" i="1" s="1"/>
  <c r="G1232" i="1" s="1"/>
  <c r="G1231" i="1" s="1"/>
  <c r="G1230" i="1"/>
  <c r="G1228" i="1"/>
  <c r="G1220" i="1"/>
  <c r="G1213" i="1"/>
  <c r="G1212" i="1" s="1"/>
  <c r="G1210" i="1"/>
  <c r="G1208" i="1"/>
  <c r="G1200" i="1"/>
  <c r="G1199" i="1" s="1"/>
  <c r="G1197" i="1"/>
  <c r="G1194" i="1"/>
  <c r="G1193" i="1" s="1"/>
  <c r="G1190" i="1" s="1"/>
  <c r="G1191" i="1"/>
  <c r="G1188" i="1"/>
  <c r="G1185" i="1" s="1"/>
  <c r="G1186" i="1"/>
  <c r="G1183" i="1"/>
  <c r="G1182" i="1" s="1"/>
  <c r="G1180" i="1"/>
  <c r="G1179" i="1" s="1"/>
  <c r="G1177" i="1"/>
  <c r="G1176" i="1" s="1"/>
  <c r="G1174" i="1"/>
  <c r="G1173" i="1" s="1"/>
  <c r="G1172" i="1"/>
  <c r="G1171" i="1" s="1"/>
  <c r="G1170" i="1" s="1"/>
  <c r="G1169" i="1"/>
  <c r="G1168" i="1"/>
  <c r="G1167" i="1" s="1"/>
  <c r="G1165" i="1"/>
  <c r="G1163" i="1"/>
  <c r="G1161" i="1"/>
  <c r="G1158" i="1"/>
  <c r="G1157" i="1" s="1"/>
  <c r="G1154" i="1"/>
  <c r="G1152" i="1"/>
  <c r="G1150" i="1"/>
  <c r="G1146" i="1"/>
  <c r="G1145" i="1" s="1"/>
  <c r="G1144" i="1" s="1"/>
  <c r="G1138" i="1"/>
  <c r="G1136" i="1"/>
  <c r="G1134" i="1"/>
  <c r="G1128" i="1"/>
  <c r="G1127" i="1" s="1"/>
  <c r="G1126" i="1" s="1"/>
  <c r="G1124" i="1"/>
  <c r="G1123" i="1"/>
  <c r="G1120" i="1" s="1"/>
  <c r="G1119" i="1" s="1"/>
  <c r="G1118" i="1" s="1"/>
  <c r="G1117" i="1" s="1"/>
  <c r="G1121" i="1"/>
  <c r="G1115" i="1"/>
  <c r="G1114" i="1" s="1"/>
  <c r="G1112" i="1"/>
  <c r="G1111" i="1" s="1"/>
  <c r="G1109" i="1"/>
  <c r="G1108" i="1" s="1"/>
  <c r="G1105" i="1"/>
  <c r="G1104" i="1" s="1"/>
  <c r="G1103" i="1" s="1"/>
  <c r="G1101" i="1"/>
  <c r="G1100" i="1" s="1"/>
  <c r="G1099" i="1" s="1"/>
  <c r="G1096" i="1"/>
  <c r="G1095" i="1" s="1"/>
  <c r="G1091" i="1" s="1"/>
  <c r="G1093" i="1"/>
  <c r="G1092" i="1" s="1"/>
  <c r="G1089" i="1"/>
  <c r="G1088" i="1" s="1"/>
  <c r="G1087" i="1" s="1"/>
  <c r="G1086" i="1" s="1"/>
  <c r="G1084" i="1"/>
  <c r="G1083" i="1" s="1"/>
  <c r="G1081" i="1"/>
  <c r="G1080" i="1" s="1"/>
  <c r="G1079" i="1" s="1"/>
  <c r="G1077" i="1"/>
  <c r="G1076" i="1" s="1"/>
  <c r="G1075" i="1" s="1"/>
  <c r="G1073" i="1"/>
  <c r="G1072" i="1" s="1"/>
  <c r="G1066" i="1"/>
  <c r="G1065" i="1" s="1"/>
  <c r="G1064" i="1"/>
  <c r="G1063" i="1" s="1"/>
  <c r="G1061" i="1"/>
  <c r="G1056" i="1"/>
  <c r="G1054" i="1"/>
  <c r="G1052" i="1"/>
  <c r="G1049" i="1"/>
  <c r="G1046" i="1" s="1"/>
  <c r="G1047" i="1"/>
  <c r="G1044" i="1"/>
  <c r="G1043" i="1" s="1"/>
  <c r="G1042" i="1"/>
  <c r="G1041" i="1" s="1"/>
  <c r="G1039" i="1"/>
  <c r="G1035" i="1"/>
  <c r="G1032" i="1"/>
  <c r="G1031" i="1" s="1"/>
  <c r="G1029" i="1"/>
  <c r="G1027" i="1"/>
  <c r="G1026" i="1" s="1"/>
  <c r="G1024" i="1"/>
  <c r="G1022" i="1"/>
  <c r="G1020" i="1"/>
  <c r="G1019" i="1" s="1"/>
  <c r="G1016" i="1"/>
  <c r="G1014" i="1"/>
  <c r="G1013" i="1"/>
  <c r="G1012" i="1"/>
  <c r="G1010" i="1"/>
  <c r="G1005" i="1"/>
  <c r="G1004" i="1" s="1"/>
  <c r="G999" i="1"/>
  <c r="G997" i="1"/>
  <c r="G996" i="1" s="1"/>
  <c r="G995" i="1" s="1"/>
  <c r="G994" i="1" s="1"/>
  <c r="G991" i="1"/>
  <c r="G990" i="1" s="1"/>
  <c r="G987" i="1" s="1"/>
  <c r="G986" i="1" s="1"/>
  <c r="G988" i="1"/>
  <c r="G984" i="1"/>
  <c r="G983" i="1" s="1"/>
  <c r="G981" i="1"/>
  <c r="G980" i="1" s="1"/>
  <c r="G978" i="1"/>
  <c r="G977" i="1" s="1"/>
  <c r="G976" i="1"/>
  <c r="G975" i="1" s="1"/>
  <c r="G973" i="1"/>
  <c r="G972" i="1" s="1"/>
  <c r="G970" i="1"/>
  <c r="G966" i="1"/>
  <c r="G964" i="1"/>
  <c r="G958" i="1"/>
  <c r="G957" i="1" s="1"/>
  <c r="G956" i="1"/>
  <c r="G950" i="1"/>
  <c r="G949" i="1"/>
  <c r="G947" i="1"/>
  <c r="G946" i="1" s="1"/>
  <c r="G944" i="1"/>
  <c r="G943" i="1" s="1"/>
  <c r="G941" i="1"/>
  <c r="G939" i="1"/>
  <c r="G935" i="1"/>
  <c r="G933" i="1" s="1"/>
  <c r="G931" i="1"/>
  <c r="G929" i="1"/>
  <c r="G924" i="1"/>
  <c r="G922" i="1"/>
  <c r="G916" i="1"/>
  <c r="G915" i="1" s="1"/>
  <c r="G914" i="1" s="1"/>
  <c r="G910" i="1"/>
  <c r="G909" i="1" s="1"/>
  <c r="G908" i="1" s="1"/>
  <c r="G905" i="1" s="1"/>
  <c r="G904" i="1" s="1"/>
  <c r="G906" i="1"/>
  <c r="G902" i="1"/>
  <c r="G901" i="1" s="1"/>
  <c r="G900" i="1" s="1"/>
  <c r="G899" i="1" s="1"/>
  <c r="G898" i="1" s="1"/>
  <c r="G893" i="1"/>
  <c r="G892" i="1"/>
  <c r="G891" i="1" s="1"/>
  <c r="G889" i="1"/>
  <c r="G888" i="1" s="1"/>
  <c r="G887" i="1"/>
  <c r="G886" i="1" s="1"/>
  <c r="G884" i="1"/>
  <c r="G882" i="1"/>
  <c r="G881" i="1" s="1"/>
  <c r="G880" i="1" s="1"/>
  <c r="G879" i="1" s="1"/>
  <c r="G878" i="1" s="1"/>
  <c r="G877" i="1" s="1"/>
  <c r="G876" i="1" s="1"/>
  <c r="G874" i="1"/>
  <c r="G873" i="1" s="1"/>
  <c r="G871" i="1"/>
  <c r="G870" i="1" s="1"/>
  <c r="G868" i="1"/>
  <c r="G867" i="1" s="1"/>
  <c r="G866" i="1"/>
  <c r="G865" i="1" s="1"/>
  <c r="G864" i="1" s="1"/>
  <c r="G862" i="1"/>
  <c r="G861" i="1"/>
  <c r="G860" i="1" s="1"/>
  <c r="G859" i="1" s="1"/>
  <c r="G857" i="1"/>
  <c r="G856" i="1"/>
  <c r="G853" i="1"/>
  <c r="G852" i="1"/>
  <c r="G851" i="1" s="1"/>
  <c r="G850" i="1"/>
  <c r="G849" i="1" s="1"/>
  <c r="G848" i="1"/>
  <c r="G846" i="1"/>
  <c r="G845" i="1"/>
  <c r="G844" i="1" s="1"/>
  <c r="G843" i="1" s="1"/>
  <c r="G842" i="1"/>
  <c r="G841" i="1" s="1"/>
  <c r="G840" i="1"/>
  <c r="G839" i="1" s="1"/>
  <c r="G834" i="1"/>
  <c r="G833" i="1"/>
  <c r="G832" i="1" s="1"/>
  <c r="G831" i="1" s="1"/>
  <c r="G830" i="1"/>
  <c r="G829" i="1"/>
  <c r="G828" i="1" s="1"/>
  <c r="G827" i="1"/>
  <c r="G826" i="1" s="1"/>
  <c r="G825" i="1" s="1"/>
  <c r="G824" i="1" s="1"/>
  <c r="G823" i="1" s="1"/>
  <c r="G822" i="1" s="1"/>
  <c r="G821" i="1" s="1"/>
  <c r="G819" i="1"/>
  <c r="G818" i="1" s="1"/>
  <c r="G817" i="1" s="1"/>
  <c r="G816" i="1" s="1"/>
  <c r="G814" i="1"/>
  <c r="G813" i="1" s="1"/>
  <c r="G811" i="1"/>
  <c r="G810" i="1"/>
  <c r="G807" i="1"/>
  <c r="G806" i="1"/>
  <c r="G805" i="1" s="1"/>
  <c r="G804" i="1"/>
  <c r="G802" i="1"/>
  <c r="G801" i="1" s="1"/>
  <c r="G797" i="1"/>
  <c r="G796" i="1" s="1"/>
  <c r="G795" i="1" s="1"/>
  <c r="G794" i="1" s="1"/>
  <c r="G793" i="1" s="1"/>
  <c r="G790" i="1"/>
  <c r="G789" i="1"/>
  <c r="G788" i="1" s="1"/>
  <c r="G787" i="1" s="1"/>
  <c r="G786" i="1" s="1"/>
  <c r="G784" i="1"/>
  <c r="G783" i="1" s="1"/>
  <c r="G782" i="1" s="1"/>
  <c r="G781" i="1" s="1"/>
  <c r="G780" i="1" s="1"/>
  <c r="G777" i="1"/>
  <c r="G770" i="1"/>
  <c r="G769" i="1" s="1"/>
  <c r="G768" i="1" s="1"/>
  <c r="G767" i="1" s="1"/>
  <c r="G764" i="1"/>
  <c r="G763" i="1" s="1"/>
  <c r="G761" i="1"/>
  <c r="G760" i="1" s="1"/>
  <c r="G759" i="1"/>
  <c r="G758" i="1" s="1"/>
  <c r="G756" i="1"/>
  <c r="G755" i="1" s="1"/>
  <c r="G749" i="1"/>
  <c r="G748" i="1" s="1"/>
  <c r="G746" i="1"/>
  <c r="G745" i="1" s="1"/>
  <c r="G741" i="1"/>
  <c r="G740" i="1" s="1"/>
  <c r="G739" i="1" s="1"/>
  <c r="G738" i="1" s="1"/>
  <c r="G737" i="1" s="1"/>
  <c r="G736" i="1"/>
  <c r="G735" i="1"/>
  <c r="G734" i="1" s="1"/>
  <c r="G732" i="1"/>
  <c r="G731" i="1" s="1"/>
  <c r="G724" i="1"/>
  <c r="G721" i="1"/>
  <c r="G720" i="1" s="1"/>
  <c r="G716" i="1"/>
  <c r="G715" i="1"/>
  <c r="G714" i="1" s="1"/>
  <c r="G712" i="1"/>
  <c r="G709" i="1" s="1"/>
  <c r="G710" i="1"/>
  <c r="G707" i="1"/>
  <c r="G704" i="1"/>
  <c r="G703" i="1" s="1"/>
  <c r="G701" i="1"/>
  <c r="G700" i="1"/>
  <c r="G697" i="1"/>
  <c r="G696" i="1"/>
  <c r="G694" i="1"/>
  <c r="G692" i="1"/>
  <c r="G686" i="1"/>
  <c r="G684" i="1"/>
  <c r="H684" i="1" s="1"/>
  <c r="G682" i="1"/>
  <c r="G680" i="1"/>
  <c r="G679" i="1" s="1"/>
  <c r="G678" i="1" s="1"/>
  <c r="G675" i="1"/>
  <c r="G674" i="1" s="1"/>
  <c r="G672" i="1"/>
  <c r="G670" i="1"/>
  <c r="G667" i="1"/>
  <c r="G666" i="1" s="1"/>
  <c r="G665" i="1" s="1"/>
  <c r="G663" i="1"/>
  <c r="G659" i="1"/>
  <c r="G658" i="1" s="1"/>
  <c r="G655" i="1"/>
  <c r="G647" i="1"/>
  <c r="G645" i="1"/>
  <c r="G639" i="1"/>
  <c r="G637" i="1" s="1"/>
  <c r="G636" i="1"/>
  <c r="G635" i="1" s="1"/>
  <c r="G634" i="1"/>
  <c r="G633" i="1" s="1"/>
  <c r="G631" i="1"/>
  <c r="G626" i="1"/>
  <c r="G624" i="1"/>
  <c r="G622" i="1"/>
  <c r="G621" i="1" s="1"/>
  <c r="G620" i="1" s="1"/>
  <c r="G617" i="1"/>
  <c r="G616" i="1" s="1"/>
  <c r="G615" i="1" s="1"/>
  <c r="G614" i="1" s="1"/>
  <c r="G613" i="1" s="1"/>
  <c r="G610" i="1"/>
  <c r="G609" i="1" s="1"/>
  <c r="G608" i="1" s="1"/>
  <c r="G607" i="1" s="1"/>
  <c r="G606" i="1" s="1"/>
  <c r="G603" i="1"/>
  <c r="G595" i="1"/>
  <c r="G594" i="1"/>
  <c r="G593" i="1" s="1"/>
  <c r="G592" i="1" s="1"/>
  <c r="G591" i="1" s="1"/>
  <c r="G589" i="1"/>
  <c r="G588" i="1" s="1"/>
  <c r="G587" i="1" s="1"/>
  <c r="G586" i="1" s="1"/>
  <c r="G585" i="1" s="1"/>
  <c r="G581" i="1"/>
  <c r="G580" i="1" s="1"/>
  <c r="G576" i="1" s="1"/>
  <c r="G578" i="1"/>
  <c r="G577" i="1" s="1"/>
  <c r="G575" i="1"/>
  <c r="G574" i="1" s="1"/>
  <c r="G572" i="1"/>
  <c r="G568" i="1"/>
  <c r="G567" i="1"/>
  <c r="G565" i="1"/>
  <c r="G564" i="1" s="1"/>
  <c r="G559" i="1"/>
  <c r="G558" i="1" s="1"/>
  <c r="G557" i="1" s="1"/>
  <c r="G556" i="1" s="1"/>
  <c r="G552" i="1"/>
  <c r="G551" i="1" s="1"/>
  <c r="G550" i="1" s="1"/>
  <c r="G548" i="1"/>
  <c r="G546" i="1"/>
  <c r="G545" i="1" s="1"/>
  <c r="G544" i="1" s="1"/>
  <c r="G542" i="1"/>
  <c r="G541" i="1"/>
  <c r="G537" i="1"/>
  <c r="G536" i="1"/>
  <c r="G534" i="1"/>
  <c r="G533" i="1" s="1"/>
  <c r="G532" i="1" s="1"/>
  <c r="G530" i="1"/>
  <c r="G529" i="1" s="1"/>
  <c r="G527" i="1"/>
  <c r="G526" i="1"/>
  <c r="G524" i="1"/>
  <c r="G517" i="1"/>
  <c r="G516" i="1" s="1"/>
  <c r="G515" i="1" s="1"/>
  <c r="G514" i="1" s="1"/>
  <c r="G513" i="1" s="1"/>
  <c r="G511" i="1"/>
  <c r="G505" i="1"/>
  <c r="G504" i="1"/>
  <c r="G503" i="1" s="1"/>
  <c r="G501" i="1"/>
  <c r="G500" i="1" s="1"/>
  <c r="G499" i="1" s="1"/>
  <c r="G498" i="1" s="1"/>
  <c r="G497" i="1" s="1"/>
  <c r="G494" i="1"/>
  <c r="G493" i="1" s="1"/>
  <c r="G492" i="1" s="1"/>
  <c r="G491" i="1"/>
  <c r="G490" i="1" s="1"/>
  <c r="G488" i="1"/>
  <c r="G486" i="1"/>
  <c r="G485" i="1" s="1"/>
  <c r="G484" i="1" s="1"/>
  <c r="G483" i="1" s="1"/>
  <c r="G479" i="1"/>
  <c r="G478" i="1" s="1"/>
  <c r="G477" i="1" s="1"/>
  <c r="G474" i="1"/>
  <c r="G473" i="1"/>
  <c r="G472" i="1" s="1"/>
  <c r="G471" i="1" s="1"/>
  <c r="G469" i="1"/>
  <c r="G468" i="1"/>
  <c r="G467" i="1" s="1"/>
  <c r="G466" i="1" s="1"/>
  <c r="G465" i="1" s="1"/>
  <c r="G464" i="1" s="1"/>
  <c r="G461" i="1"/>
  <c r="G460" i="1" s="1"/>
  <c r="G459" i="1"/>
  <c r="G457" i="1"/>
  <c r="G456" i="1" s="1"/>
  <c r="G454" i="1"/>
  <c r="G450" i="1"/>
  <c r="G449" i="1"/>
  <c r="G447" i="1"/>
  <c r="G444" i="1" s="1"/>
  <c r="G446" i="1"/>
  <c r="G441" i="1"/>
  <c r="G440" i="1" s="1"/>
  <c r="G439" i="1" s="1"/>
  <c r="G437" i="1"/>
  <c r="G436" i="1" s="1"/>
  <c r="G435" i="1"/>
  <c r="G433" i="1"/>
  <c r="G432" i="1" s="1"/>
  <c r="G430" i="1"/>
  <c r="G429" i="1" s="1"/>
  <c r="G426" i="1"/>
  <c r="G425" i="1" s="1"/>
  <c r="G424" i="1" s="1"/>
  <c r="G423" i="1" s="1"/>
  <c r="G422" i="1" s="1"/>
  <c r="G421" i="1"/>
  <c r="G420" i="1"/>
  <c r="G419" i="1" s="1"/>
  <c r="G418" i="1"/>
  <c r="G417" i="1" s="1"/>
  <c r="G416" i="1"/>
  <c r="G415" i="1" s="1"/>
  <c r="G414" i="1" s="1"/>
  <c r="G413" i="1" s="1"/>
  <c r="G411" i="1"/>
  <c r="G405" i="1"/>
  <c r="G404" i="1" s="1"/>
  <c r="G403" i="1" s="1"/>
  <c r="G402" i="1" s="1"/>
  <c r="G401" i="1" s="1"/>
  <c r="G399" i="1"/>
  <c r="G398" i="1" s="1"/>
  <c r="G397" i="1" s="1"/>
  <c r="G396" i="1" s="1"/>
  <c r="G395" i="1" s="1"/>
  <c r="G393" i="1"/>
  <c r="G392" i="1" s="1"/>
  <c r="G391" i="1" s="1"/>
  <c r="G390" i="1" s="1"/>
  <c r="G387" i="1"/>
  <c r="G383" i="1"/>
  <c r="G382" i="1"/>
  <c r="G379" i="1"/>
  <c r="G378" i="1" s="1"/>
  <c r="G376" i="1"/>
  <c r="G375" i="1" s="1"/>
  <c r="G374" i="1" s="1"/>
  <c r="G373" i="1" s="1"/>
  <c r="G371" i="1"/>
  <c r="G370" i="1"/>
  <c r="G369" i="1" s="1"/>
  <c r="G368" i="1" s="1"/>
  <c r="G367" i="1" s="1"/>
  <c r="G365" i="1"/>
  <c r="G364" i="1" s="1"/>
  <c r="G362" i="1"/>
  <c r="G361" i="1" s="1"/>
  <c r="G356" i="1"/>
  <c r="G354" i="1"/>
  <c r="G353" i="1"/>
  <c r="G352" i="1" s="1"/>
  <c r="G346" i="1" s="1"/>
  <c r="G350" i="1"/>
  <c r="G349" i="1" s="1"/>
  <c r="G348" i="1" s="1"/>
  <c r="G347" i="1" s="1"/>
  <c r="G345" i="1"/>
  <c r="G341" i="1" s="1"/>
  <c r="G343" i="1"/>
  <c r="G342" i="1"/>
  <c r="G340" i="1"/>
  <c r="G339" i="1" s="1"/>
  <c r="G336" i="1" s="1"/>
  <c r="G338" i="1"/>
  <c r="G337" i="1" s="1"/>
  <c r="G335" i="1"/>
  <c r="G333" i="1"/>
  <c r="G332" i="1" s="1"/>
  <c r="G330" i="1"/>
  <c r="G326" i="1"/>
  <c r="G325" i="1" s="1"/>
  <c r="G323" i="1"/>
  <c r="G322" i="1" s="1"/>
  <c r="G319" i="1"/>
  <c r="G313" i="1"/>
  <c r="G311" i="1"/>
  <c r="G307" i="1"/>
  <c r="G306" i="1" s="1"/>
  <c r="G304" i="1"/>
  <c r="G303" i="1" s="1"/>
  <c r="G297" i="1"/>
  <c r="G287" i="1"/>
  <c r="G285" i="1"/>
  <c r="G279" i="1"/>
  <c r="G278" i="1" s="1"/>
  <c r="G277" i="1" s="1"/>
  <c r="G275" i="1"/>
  <c r="G269" i="1"/>
  <c r="G268" i="1"/>
  <c r="G266" i="1"/>
  <c r="G265" i="1"/>
  <c r="G264" i="1"/>
  <c r="G263" i="1"/>
  <c r="G262" i="1" s="1"/>
  <c r="G261" i="1"/>
  <c r="G260" i="1" s="1"/>
  <c r="G258" i="1"/>
  <c r="G257" i="1" s="1"/>
  <c r="G256" i="1"/>
  <c r="G255" i="1" s="1"/>
  <c r="G253" i="1"/>
  <c r="G252" i="1" s="1"/>
  <c r="G251" i="1"/>
  <c r="G250" i="1" s="1"/>
  <c r="G248" i="1"/>
  <c r="G245" i="1" s="1"/>
  <c r="G246" i="1"/>
  <c r="G244" i="1"/>
  <c r="G243" i="1" s="1"/>
  <c r="G241" i="1"/>
  <c r="G239" i="1"/>
  <c r="G238" i="1" s="1"/>
  <c r="G236" i="1"/>
  <c r="G235" i="1" s="1"/>
  <c r="G234" i="1"/>
  <c r="G233" i="1" s="1"/>
  <c r="G231" i="1"/>
  <c r="G225" i="1"/>
  <c r="G221" i="1"/>
  <c r="G218" i="1"/>
  <c r="G216" i="1"/>
  <c r="G214" i="1"/>
  <c r="G211" i="1"/>
  <c r="G210" i="1"/>
  <c r="G208" i="1"/>
  <c r="G207" i="1"/>
  <c r="G204" i="1"/>
  <c r="G203" i="1"/>
  <c r="G201" i="1"/>
  <c r="G199" i="1"/>
  <c r="G198" i="1" s="1"/>
  <c r="G196" i="1"/>
  <c r="G194" i="1"/>
  <c r="G191" i="1"/>
  <c r="G190" i="1" s="1"/>
  <c r="G149" i="1"/>
  <c r="G148" i="1" s="1"/>
  <c r="G147" i="1" s="1"/>
  <c r="G128" i="1"/>
  <c r="G112" i="1"/>
  <c r="G111" i="1" s="1"/>
  <c r="G110" i="1" s="1"/>
  <c r="G109" i="1" s="1"/>
  <c r="G106" i="1"/>
  <c r="H106" i="1" s="1"/>
  <c r="G93" i="1"/>
  <c r="G85" i="1"/>
  <c r="G64" i="1"/>
  <c r="G63" i="1" s="1"/>
  <c r="G55" i="1"/>
  <c r="H55" i="1" s="1"/>
  <c r="G50" i="1"/>
  <c r="G49" i="1" s="1"/>
  <c r="G37" i="1"/>
  <c r="G36" i="1" s="1"/>
  <c r="G21" i="1"/>
  <c r="G20" i="1" s="1"/>
  <c r="H1858" i="1"/>
  <c r="H1855" i="1"/>
  <c r="H1852" i="1"/>
  <c r="H1849" i="1"/>
  <c r="H1846" i="1"/>
  <c r="H1821" i="1"/>
  <c r="H1818" i="1"/>
  <c r="H1815" i="1"/>
  <c r="H1812" i="1"/>
  <c r="H1809" i="1"/>
  <c r="H1806" i="1"/>
  <c r="H1803" i="1"/>
  <c r="H1795" i="1"/>
  <c r="H1790" i="1"/>
  <c r="H1784" i="1"/>
  <c r="H1779" i="1"/>
  <c r="H1771" i="1"/>
  <c r="H1766" i="1"/>
  <c r="H1758" i="1"/>
  <c r="H1753" i="1"/>
  <c r="H1751" i="1"/>
  <c r="H1746" i="1"/>
  <c r="H1741" i="1"/>
  <c r="H1732" i="1"/>
  <c r="H1730" i="1"/>
  <c r="H1722" i="1"/>
  <c r="H1717" i="1"/>
  <c r="H1711" i="1"/>
  <c r="H1707" i="1"/>
  <c r="H1701" i="1"/>
  <c r="H1696" i="1"/>
  <c r="H1679" i="1"/>
  <c r="H1673" i="1"/>
  <c r="H1667" i="1"/>
  <c r="H1663" i="1"/>
  <c r="H1659" i="1"/>
  <c r="H1656" i="1"/>
  <c r="H1653" i="1"/>
  <c r="H1650" i="1"/>
  <c r="H1863" i="1" s="1"/>
  <c r="H1647" i="1"/>
  <c r="H1642" i="1"/>
  <c r="H1640" i="1"/>
  <c r="H1637" i="1"/>
  <c r="H1631" i="1"/>
  <c r="H1630" i="1"/>
  <c r="H1628" i="1"/>
  <c r="H1627" i="1"/>
  <c r="H1626" i="1"/>
  <c r="H1620" i="1"/>
  <c r="H1614" i="1"/>
  <c r="H1610" i="1"/>
  <c r="H1605" i="1"/>
  <c r="H1595" i="1"/>
  <c r="H1593" i="1"/>
  <c r="H1590" i="1"/>
  <c r="H1588" i="1"/>
  <c r="H1583" i="1"/>
  <c r="H1581" i="1"/>
  <c r="H1578" i="1"/>
  <c r="H1568" i="1"/>
  <c r="H1566" i="1"/>
  <c r="H1562" i="1"/>
  <c r="H1558" i="1"/>
  <c r="H1556" i="1"/>
  <c r="H1553" i="1"/>
  <c r="H1550" i="1"/>
  <c r="H1548" i="1"/>
  <c r="H1543" i="1"/>
  <c r="H1536" i="1"/>
  <c r="H1533" i="1"/>
  <c r="H1529" i="1"/>
  <c r="H1522" i="1"/>
  <c r="H1520" i="1"/>
  <c r="H1516" i="1"/>
  <c r="H1510" i="1"/>
  <c r="H1502" i="1"/>
  <c r="H1499" i="1"/>
  <c r="H1496" i="1"/>
  <c r="H1493" i="1"/>
  <c r="H1490" i="1"/>
  <c r="H1487" i="1"/>
  <c r="H1483" i="1"/>
  <c r="H1480" i="1"/>
  <c r="H1477" i="1"/>
  <c r="H1474" i="1"/>
  <c r="H1468" i="1"/>
  <c r="H1465" i="1"/>
  <c r="H1459" i="1"/>
  <c r="H1430" i="1"/>
  <c r="H1428" i="1"/>
  <c r="H1422" i="1"/>
  <c r="H1415" i="1"/>
  <c r="H1406" i="1"/>
  <c r="H1405" i="1"/>
  <c r="H1401" i="1"/>
  <c r="H1399" i="1"/>
  <c r="H1393" i="1"/>
  <c r="H1387" i="1"/>
  <c r="H1378" i="1"/>
  <c r="H1370" i="1"/>
  <c r="H1364" i="1"/>
  <c r="H1355" i="1"/>
  <c r="H1354" i="1"/>
  <c r="H1352" i="1"/>
  <c r="H1346" i="1"/>
  <c r="H1341" i="1"/>
  <c r="H1336" i="1"/>
  <c r="H1333" i="1"/>
  <c r="H1328" i="1"/>
  <c r="H1324" i="1"/>
  <c r="H1323" i="1"/>
  <c r="H1319" i="1"/>
  <c r="H1317" i="1"/>
  <c r="H1312" i="1"/>
  <c r="H1292" i="1"/>
  <c r="H1285" i="1"/>
  <c r="H1279" i="1"/>
  <c r="H1273" i="1"/>
  <c r="H1269" i="1"/>
  <c r="H1266" i="1"/>
  <c r="H1263" i="1"/>
  <c r="H1258" i="1"/>
  <c r="H1247" i="1"/>
  <c r="H1246" i="1"/>
  <c r="H1244" i="1"/>
  <c r="H1242" i="1"/>
  <c r="H1229" i="1"/>
  <c r="H1221" i="1"/>
  <c r="H1211" i="1"/>
  <c r="H1209" i="1"/>
  <c r="H1207" i="1"/>
  <c r="H1201" i="1"/>
  <c r="H1198" i="1"/>
  <c r="H1192" i="1"/>
  <c r="H1187" i="1"/>
  <c r="H1184" i="1"/>
  <c r="H1178" i="1"/>
  <c r="H1175" i="1"/>
  <c r="H1166" i="1"/>
  <c r="H1164" i="1"/>
  <c r="H1162" i="1"/>
  <c r="H1156" i="1"/>
  <c r="H1155" i="1"/>
  <c r="H1153" i="1"/>
  <c r="H1151" i="1"/>
  <c r="H1147" i="1"/>
  <c r="H1143" i="1"/>
  <c r="H1141" i="1"/>
  <c r="H1139" i="1"/>
  <c r="H1137" i="1"/>
  <c r="H1129" i="1"/>
  <c r="H1125" i="1"/>
  <c r="H1122" i="1"/>
  <c r="H1116" i="1"/>
  <c r="H1110" i="1"/>
  <c r="H1102" i="1"/>
  <c r="H1097" i="1"/>
  <c r="H1094" i="1"/>
  <c r="H1090" i="1"/>
  <c r="H1085" i="1"/>
  <c r="H1082" i="1"/>
  <c r="H1078" i="1"/>
  <c r="H1074" i="1"/>
  <c r="H1067" i="1"/>
  <c r="H1062" i="1"/>
  <c r="H1057" i="1"/>
  <c r="H1055" i="1"/>
  <c r="H1053" i="1"/>
  <c r="H1050" i="1"/>
  <c r="H1048" i="1"/>
  <c r="H1045" i="1"/>
  <c r="H1040" i="1"/>
  <c r="H1036" i="1"/>
  <c r="H1033" i="1"/>
  <c r="H1030" i="1"/>
  <c r="H1028" i="1"/>
  <c r="H1025" i="1"/>
  <c r="H1023" i="1"/>
  <c r="H1021" i="1"/>
  <c r="H1018" i="1"/>
  <c r="H1015" i="1"/>
  <c r="H1006" i="1"/>
  <c r="H1000" i="1"/>
  <c r="H998" i="1"/>
  <c r="H992" i="1"/>
  <c r="H989" i="1"/>
  <c r="H985" i="1"/>
  <c r="H982" i="1"/>
  <c r="H979" i="1"/>
  <c r="H974" i="1"/>
  <c r="H967" i="1"/>
  <c r="H965" i="1"/>
  <c r="H959" i="1"/>
  <c r="H952" i="1"/>
  <c r="H951" i="1"/>
  <c r="H948" i="1"/>
  <c r="H945" i="1"/>
  <c r="H942" i="1"/>
  <c r="H940" i="1"/>
  <c r="H934" i="1"/>
  <c r="H932" i="1"/>
  <c r="H925" i="1"/>
  <c r="H923" i="1"/>
  <c r="H917" i="1"/>
  <c r="H911" i="1"/>
  <c r="H907" i="1"/>
  <c r="H903" i="1"/>
  <c r="H895" i="1"/>
  <c r="H894" i="1"/>
  <c r="H890" i="1"/>
  <c r="H885" i="1"/>
  <c r="H883" i="1"/>
  <c r="H875" i="1"/>
  <c r="H872" i="1"/>
  <c r="H869" i="1"/>
  <c r="H863" i="1"/>
  <c r="H858" i="1"/>
  <c r="H820" i="1"/>
  <c r="H808" i="1"/>
  <c r="H799" i="1"/>
  <c r="H798" i="1"/>
  <c r="H792" i="1"/>
  <c r="H791" i="1"/>
  <c r="H779" i="1"/>
  <c r="H778" i="1"/>
  <c r="H771" i="1"/>
  <c r="H765" i="1"/>
  <c r="H762" i="1"/>
  <c r="H757" i="1"/>
  <c r="H750" i="1"/>
  <c r="H747" i="1"/>
  <c r="H742" i="1"/>
  <c r="H733" i="1"/>
  <c r="H725" i="1"/>
  <c r="H722" i="1"/>
  <c r="H717" i="1"/>
  <c r="H713" i="1"/>
  <c r="H711" i="1"/>
  <c r="H708" i="1"/>
  <c r="H705" i="1"/>
  <c r="H702" i="1"/>
  <c r="H698" i="1"/>
  <c r="H695" i="1"/>
  <c r="H687" i="1"/>
  <c r="H685" i="1"/>
  <c r="H677" i="1"/>
  <c r="H673" i="1"/>
  <c r="H671" i="1"/>
  <c r="H668" i="1"/>
  <c r="H664" i="1"/>
  <c r="H657" i="1"/>
  <c r="H656" i="1"/>
  <c r="H648" i="1"/>
  <c r="H646" i="1"/>
  <c r="H638" i="1"/>
  <c r="H634" i="1"/>
  <c r="H632" i="1"/>
  <c r="H627" i="1"/>
  <c r="H625" i="1"/>
  <c r="H623" i="1"/>
  <c r="H619" i="1"/>
  <c r="H618" i="1"/>
  <c r="H612" i="1"/>
  <c r="H611" i="1"/>
  <c r="H605" i="1"/>
  <c r="H604" i="1"/>
  <c r="H596" i="1"/>
  <c r="H590" i="1"/>
  <c r="H579" i="1"/>
  <c r="H569" i="1"/>
  <c r="H560" i="1"/>
  <c r="H554" i="1"/>
  <c r="H553" i="1"/>
  <c r="H549" i="1"/>
  <c r="H547" i="1"/>
  <c r="H543" i="1"/>
  <c r="H539" i="1"/>
  <c r="H538" i="1"/>
  <c r="H531" i="1"/>
  <c r="H528" i="1"/>
  <c r="H526" i="1"/>
  <c r="H525" i="1"/>
  <c r="H521" i="1"/>
  <c r="H518" i="1"/>
  <c r="H512" i="1"/>
  <c r="H506" i="1"/>
  <c r="H502" i="1"/>
  <c r="H496" i="1"/>
  <c r="H495" i="1"/>
  <c r="H489" i="1"/>
  <c r="H487" i="1"/>
  <c r="H481" i="1"/>
  <c r="H480" i="1"/>
  <c r="H476" i="1"/>
  <c r="H475" i="1"/>
  <c r="H470" i="1"/>
  <c r="H462" i="1"/>
  <c r="H455" i="1"/>
  <c r="H451" i="1"/>
  <c r="H448" i="1"/>
  <c r="H438" i="1"/>
  <c r="H427" i="1"/>
  <c r="H412" i="1"/>
  <c r="H406" i="1"/>
  <c r="H400" i="1"/>
  <c r="H394" i="1"/>
  <c r="H388" i="1"/>
  <c r="H384" i="1"/>
  <c r="H380" i="1"/>
  <c r="H372" i="1"/>
  <c r="H366" i="1"/>
  <c r="H363" i="1"/>
  <c r="H355" i="1"/>
  <c r="H351" i="1"/>
  <c r="H344" i="1"/>
  <c r="H331" i="1"/>
  <c r="H324" i="1"/>
  <c r="H314" i="1"/>
  <c r="H288" i="1"/>
  <c r="H286" i="1"/>
  <c r="H276" i="1"/>
  <c r="H267" i="1"/>
  <c r="H259" i="1"/>
  <c r="H254" i="1"/>
  <c r="H247" i="1"/>
  <c r="H242" i="1"/>
  <c r="H237" i="1"/>
  <c r="H232" i="1"/>
  <c r="H224" i="1"/>
  <c r="H223" i="1"/>
  <c r="H220" i="1"/>
  <c r="H219" i="1"/>
  <c r="H217" i="1"/>
  <c r="H215" i="1"/>
  <c r="H212" i="1"/>
  <c r="H209" i="1"/>
  <c r="H206" i="1"/>
  <c r="H205" i="1"/>
  <c r="H202" i="1"/>
  <c r="H200" i="1"/>
  <c r="H197" i="1"/>
  <c r="H186" i="1"/>
  <c r="H183" i="1"/>
  <c r="H182" i="1"/>
  <c r="H180" i="1"/>
  <c r="H178" i="1"/>
  <c r="H176" i="1"/>
  <c r="H171" i="1"/>
  <c r="H165" i="1"/>
  <c r="H163" i="1"/>
  <c r="H144" i="1"/>
  <c r="H141" i="1"/>
  <c r="H135" i="1"/>
  <c r="H122" i="1"/>
  <c r="H120" i="1"/>
  <c r="H79" i="1"/>
  <c r="H74" i="1"/>
  <c r="H58" i="1"/>
  <c r="H54" i="1"/>
  <c r="H31" i="1"/>
  <c r="H30" i="1"/>
  <c r="H27" i="1"/>
  <c r="H25" i="1"/>
  <c r="H18" i="1"/>
  <c r="H14" i="1"/>
  <c r="G13" i="1"/>
  <c r="G17" i="1"/>
  <c r="G22" i="1"/>
  <c r="G26" i="1"/>
  <c r="G24" i="1"/>
  <c r="G29" i="1"/>
  <c r="G38" i="1"/>
  <c r="G44" i="1"/>
  <c r="G51" i="1"/>
  <c r="G56" i="1"/>
  <c r="G57" i="1"/>
  <c r="G65" i="1"/>
  <c r="G71" i="1"/>
  <c r="G73" i="1"/>
  <c r="G78" i="1"/>
  <c r="G77" i="1" s="1"/>
  <c r="G86" i="1"/>
  <c r="G94" i="1"/>
  <c r="G98" i="1"/>
  <c r="G97" i="1" s="1"/>
  <c r="G96" i="1" s="1"/>
  <c r="G100" i="1"/>
  <c r="G107" i="1"/>
  <c r="G113" i="1"/>
  <c r="G119" i="1"/>
  <c r="H119" i="1" s="1"/>
  <c r="G121" i="1"/>
  <c r="G129" i="1"/>
  <c r="H129" i="1" s="1"/>
  <c r="G134" i="1"/>
  <c r="G133" i="1" s="1"/>
  <c r="G140" i="1"/>
  <c r="G150" i="1"/>
  <c r="G153" i="1"/>
  <c r="G155" i="1"/>
  <c r="G154" i="1" s="1"/>
  <c r="G157" i="1"/>
  <c r="G156" i="1" s="1"/>
  <c r="G162" i="1"/>
  <c r="H162" i="1" s="1"/>
  <c r="G164" i="1"/>
  <c r="G170" i="1"/>
  <c r="G169" i="1" s="1"/>
  <c r="G168" i="1" s="1"/>
  <c r="G167" i="1" s="1"/>
  <c r="G166" i="1" s="1"/>
  <c r="G175" i="1"/>
  <c r="G177" i="1"/>
  <c r="G179" i="1"/>
  <c r="H179" i="1" s="1"/>
  <c r="G181" i="1"/>
  <c r="G185" i="1"/>
  <c r="H192" i="1"/>
  <c r="H199" i="1"/>
  <c r="H280" i="1"/>
  <c r="H433" i="1"/>
  <c r="H488" i="1"/>
  <c r="H535" i="1"/>
  <c r="H693" i="1"/>
  <c r="H701" i="1"/>
  <c r="H803" i="1"/>
  <c r="H815" i="1"/>
  <c r="H839" i="1"/>
  <c r="H842" i="1"/>
  <c r="H841" i="1" s="1"/>
  <c r="H846" i="1"/>
  <c r="H845" i="1" s="1"/>
  <c r="H844" i="1" s="1"/>
  <c r="H843" i="1" s="1"/>
  <c r="H850" i="1"/>
  <c r="H849" i="1" s="1"/>
  <c r="H848" i="1" s="1"/>
  <c r="H853" i="1"/>
  <c r="H852" i="1" s="1"/>
  <c r="H851" i="1" s="1"/>
  <c r="H873" i="1"/>
  <c r="H889" i="1"/>
  <c r="H930" i="1"/>
  <c r="H1016" i="1"/>
  <c r="H1061" i="1"/>
  <c r="H1106" i="1"/>
  <c r="H1173" i="1"/>
  <c r="H1208" i="1"/>
  <c r="H1257" i="1"/>
  <c r="H1432" i="1"/>
  <c r="H1431" i="1" s="1"/>
  <c r="H1433" i="1"/>
  <c r="H1436" i="1"/>
  <c r="H1435" i="1" s="1"/>
  <c r="H1439" i="1"/>
  <c r="H1438" i="1" s="1"/>
  <c r="H1446" i="1"/>
  <c r="H1445" i="1" s="1"/>
  <c r="H1444" i="1" s="1"/>
  <c r="H1443" i="1" s="1"/>
  <c r="H1442" i="1" s="1"/>
  <c r="H1441" i="1" s="1"/>
  <c r="H1555" i="1"/>
  <c r="H1646" i="1"/>
  <c r="H1743" i="1"/>
  <c r="H1748" i="1"/>
  <c r="G1863" i="1"/>
  <c r="F1863" i="1"/>
  <c r="F1861" i="1"/>
  <c r="F1860" i="1" s="1"/>
  <c r="F1859" i="1" s="1"/>
  <c r="F1857" i="1"/>
  <c r="F1856" i="1" s="1"/>
  <c r="F1854" i="1"/>
  <c r="F1853" i="1" s="1"/>
  <c r="H1853" i="1" s="1"/>
  <c r="F1851" i="1"/>
  <c r="F1850" i="1" s="1"/>
  <c r="F1848" i="1"/>
  <c r="F1847" i="1" s="1"/>
  <c r="F1845" i="1"/>
  <c r="F1844" i="1"/>
  <c r="F1841" i="1"/>
  <c r="F1840" i="1"/>
  <c r="H1840" i="1" s="1"/>
  <c r="F1838" i="1"/>
  <c r="F1837" i="1"/>
  <c r="F1836" i="1"/>
  <c r="F1830" i="1"/>
  <c r="F1827" i="1"/>
  <c r="F1826" i="1" s="1"/>
  <c r="F1825" i="1" s="1"/>
  <c r="F1824" i="1"/>
  <c r="F1820" i="1"/>
  <c r="F1819" i="1" s="1"/>
  <c r="F1817" i="1"/>
  <c r="F1816" i="1" s="1"/>
  <c r="F1814" i="1"/>
  <c r="F1813" i="1"/>
  <c r="F1811" i="1"/>
  <c r="F1810" i="1" s="1"/>
  <c r="F1808" i="1"/>
  <c r="F1807" i="1" s="1"/>
  <c r="F1805" i="1"/>
  <c r="F1804" i="1" s="1"/>
  <c r="F1802" i="1"/>
  <c r="F1801" i="1"/>
  <c r="F1800" i="1"/>
  <c r="F1794" i="1"/>
  <c r="F1793" i="1" s="1"/>
  <c r="F1792" i="1" s="1"/>
  <c r="F1791" i="1" s="1"/>
  <c r="F1789" i="1"/>
  <c r="F1788" i="1" s="1"/>
  <c r="F1787" i="1" s="1"/>
  <c r="F1786" i="1" s="1"/>
  <c r="F1783" i="1"/>
  <c r="H1783" i="1" s="1"/>
  <c r="F1782" i="1"/>
  <c r="F1781" i="1" s="1"/>
  <c r="F1780" i="1" s="1"/>
  <c r="F1778" i="1"/>
  <c r="H1778" i="1" s="1"/>
  <c r="F1777" i="1"/>
  <c r="F1776" i="1"/>
  <c r="F1775" i="1" s="1"/>
  <c r="F1774" i="1" s="1"/>
  <c r="F1770" i="1"/>
  <c r="F1769" i="1"/>
  <c r="F1768" i="1" s="1"/>
  <c r="F1767" i="1" s="1"/>
  <c r="F1765" i="1"/>
  <c r="F1764" i="1"/>
  <c r="H1764" i="1" s="1"/>
  <c r="F1757" i="1"/>
  <c r="F1756" i="1" s="1"/>
  <c r="F1755" i="1" s="1"/>
  <c r="F1754" i="1" s="1"/>
  <c r="F1752" i="1"/>
  <c r="F1750" i="1"/>
  <c r="F1747" i="1"/>
  <c r="F1745" i="1"/>
  <c r="F1742" i="1"/>
  <c r="F1740" i="1"/>
  <c r="F1734" i="1"/>
  <c r="F1733" i="1" s="1"/>
  <c r="F1731" i="1"/>
  <c r="F1729" i="1"/>
  <c r="H1729" i="1" s="1"/>
  <c r="F1721" i="1"/>
  <c r="F1720" i="1" s="1"/>
  <c r="F1719" i="1" s="1"/>
  <c r="F1718" i="1" s="1"/>
  <c r="F1716" i="1"/>
  <c r="F1715" i="1" s="1"/>
  <c r="F1714" i="1" s="1"/>
  <c r="F1713" i="1" s="1"/>
  <c r="F1712" i="1" s="1"/>
  <c r="F1710" i="1"/>
  <c r="F1709" i="1" s="1"/>
  <c r="F1708" i="1" s="1"/>
  <c r="F1706" i="1"/>
  <c r="F1705" i="1" s="1"/>
  <c r="F1704" i="1" s="1"/>
  <c r="F1703" i="1" s="1"/>
  <c r="F1700" i="1"/>
  <c r="F1699" i="1" s="1"/>
  <c r="F1698" i="1"/>
  <c r="F1697" i="1" s="1"/>
  <c r="F1695" i="1"/>
  <c r="F1692" i="1"/>
  <c r="F1690" i="1"/>
  <c r="F1685" i="1"/>
  <c r="F1678" i="1"/>
  <c r="F1677" i="1" s="1"/>
  <c r="F1676" i="1" s="1"/>
  <c r="F1675" i="1" s="1"/>
  <c r="F1674" i="1" s="1"/>
  <c r="F1672" i="1"/>
  <c r="H1672" i="1" s="1"/>
  <c r="F1671" i="1"/>
  <c r="F1670" i="1" s="1"/>
  <c r="F1669" i="1" s="1"/>
  <c r="F1666" i="1"/>
  <c r="F1665" i="1" s="1"/>
  <c r="F1664" i="1" s="1"/>
  <c r="F1661" i="1" s="1"/>
  <c r="F1660" i="1" s="1"/>
  <c r="F1662" i="1"/>
  <c r="H1662" i="1" s="1"/>
  <c r="F1658" i="1"/>
  <c r="F1657" i="1" s="1"/>
  <c r="F1655" i="1"/>
  <c r="F1654" i="1" s="1"/>
  <c r="F1652" i="1"/>
  <c r="F1649" i="1"/>
  <c r="F1648" i="1" s="1"/>
  <c r="F1646" i="1"/>
  <c r="F1645" i="1"/>
  <c r="F1641" i="1"/>
  <c r="F1639" i="1"/>
  <c r="F1636" i="1"/>
  <c r="F1635" i="1" s="1"/>
  <c r="F1634" i="1" s="1"/>
  <c r="F1633" i="1" s="1"/>
  <c r="F1632" i="1" s="1"/>
  <c r="F1629" i="1"/>
  <c r="F1839" i="1" s="1"/>
  <c r="F1625" i="1"/>
  <c r="F1835" i="1" s="1"/>
  <c r="F1624" i="1"/>
  <c r="F1834" i="1" s="1"/>
  <c r="F1619" i="1"/>
  <c r="F1613" i="1"/>
  <c r="F1612" i="1" s="1"/>
  <c r="F1609" i="1"/>
  <c r="F1608" i="1"/>
  <c r="F1607" i="1" s="1"/>
  <c r="F1606" i="1" s="1"/>
  <c r="F1604" i="1"/>
  <c r="F1603" i="1"/>
  <c r="F1602" i="1" s="1"/>
  <c r="H1602" i="1" s="1"/>
  <c r="F1594" i="1"/>
  <c r="F1592" i="1"/>
  <c r="F1589" i="1"/>
  <c r="F1587" i="1"/>
  <c r="F1582" i="1"/>
  <c r="F1580" i="1"/>
  <c r="F1577" i="1"/>
  <c r="F1576" i="1" s="1"/>
  <c r="F1571" i="1"/>
  <c r="F1570" i="1" s="1"/>
  <c r="F1567" i="1"/>
  <c r="F1564" i="1" s="1"/>
  <c r="F1565" i="1"/>
  <c r="F1563" i="1"/>
  <c r="F1561" i="1"/>
  <c r="F1560" i="1" s="1"/>
  <c r="F1557" i="1"/>
  <c r="F1555" i="1"/>
  <c r="F1554" i="1" s="1"/>
  <c r="F1552" i="1"/>
  <c r="F1551" i="1" s="1"/>
  <c r="H1551" i="1" s="1"/>
  <c r="F1549" i="1"/>
  <c r="F1547" i="1"/>
  <c r="F1542" i="1"/>
  <c r="F1535" i="1"/>
  <c r="F1534" i="1" s="1"/>
  <c r="F1530" i="1" s="1"/>
  <c r="F1525" i="1" s="1"/>
  <c r="F1524" i="1" s="1"/>
  <c r="F1532" i="1"/>
  <c r="F1531" i="1" s="1"/>
  <c r="F1528" i="1"/>
  <c r="F1527" i="1" s="1"/>
  <c r="F1526" i="1" s="1"/>
  <c r="F1521" i="1"/>
  <c r="F1519" i="1"/>
  <c r="F1515" i="1"/>
  <c r="F1514" i="1" s="1"/>
  <c r="F1513" i="1" s="1"/>
  <c r="F1509" i="1"/>
  <c r="F1508" i="1" s="1"/>
  <c r="F1507" i="1" s="1"/>
  <c r="F1506" i="1" s="1"/>
  <c r="F1505" i="1" s="1"/>
  <c r="F1504" i="1" s="1"/>
  <c r="F1503" i="1" s="1"/>
  <c r="F1501" i="1"/>
  <c r="F1500" i="1" s="1"/>
  <c r="F1499" i="1"/>
  <c r="F1498" i="1" s="1"/>
  <c r="F1497" i="1" s="1"/>
  <c r="F1495" i="1"/>
  <c r="F1494" i="1" s="1"/>
  <c r="F1492" i="1"/>
  <c r="F1491" i="1" s="1"/>
  <c r="F1489" i="1"/>
  <c r="F1488" i="1" s="1"/>
  <c r="F1486" i="1"/>
  <c r="F1485" i="1" s="1"/>
  <c r="F1482" i="1"/>
  <c r="F1479" i="1"/>
  <c r="F1478" i="1" s="1"/>
  <c r="F1476" i="1"/>
  <c r="F1475" i="1" s="1"/>
  <c r="F1473" i="1"/>
  <c r="F1472" i="1" s="1"/>
  <c r="F1467" i="1"/>
  <c r="F1466" i="1" s="1"/>
  <c r="F1464" i="1"/>
  <c r="F1463" i="1" s="1"/>
  <c r="F1462" i="1" s="1"/>
  <c r="F1461" i="1" s="1"/>
  <c r="F1460" i="1" s="1"/>
  <c r="F1458" i="1"/>
  <c r="F1456" i="1"/>
  <c r="F1455" i="1"/>
  <c r="F1447" i="1"/>
  <c r="F1446" i="1" s="1"/>
  <c r="F1445" i="1" s="1"/>
  <c r="F1444" i="1" s="1"/>
  <c r="F1443" i="1" s="1"/>
  <c r="F1442" i="1" s="1"/>
  <c r="F1441" i="1" s="1"/>
  <c r="F1439" i="1"/>
  <c r="F1438" i="1" s="1"/>
  <c r="F1436" i="1"/>
  <c r="F1435" i="1" s="1"/>
  <c r="F1433" i="1"/>
  <c r="F1432" i="1"/>
  <c r="F1431" i="1" s="1"/>
  <c r="F1429" i="1"/>
  <c r="F1427" i="1"/>
  <c r="F1421" i="1"/>
  <c r="F1420" i="1" s="1"/>
  <c r="F1419" i="1"/>
  <c r="F1418" i="1" s="1"/>
  <c r="F1417" i="1"/>
  <c r="F1416" i="1"/>
  <c r="F1414" i="1"/>
  <c r="F1413" i="1"/>
  <c r="F1412" i="1" s="1"/>
  <c r="F1405" i="1"/>
  <c r="F1404" i="1" s="1"/>
  <c r="F1403" i="1" s="1"/>
  <c r="F1402" i="1" s="1"/>
  <c r="F1400" i="1"/>
  <c r="F1396" i="1" s="1"/>
  <c r="F1395" i="1" s="1"/>
  <c r="F1394" i="1" s="1"/>
  <c r="F1398" i="1"/>
  <c r="F1397" i="1" s="1"/>
  <c r="F1392" i="1"/>
  <c r="F1391" i="1"/>
  <c r="F1386" i="1"/>
  <c r="F1385" i="1" s="1"/>
  <c r="F1384" i="1" s="1"/>
  <c r="F1383" i="1" s="1"/>
  <c r="F1382" i="1" s="1"/>
  <c r="F1381" i="1"/>
  <c r="H1381" i="1" s="1"/>
  <c r="F1380" i="1"/>
  <c r="F1379" i="1" s="1"/>
  <c r="F1377" i="1"/>
  <c r="F1376" i="1" s="1"/>
  <c r="F1369" i="1"/>
  <c r="F1368" i="1" s="1"/>
  <c r="F1367" i="1"/>
  <c r="H1367" i="1" s="1"/>
  <c r="F1363" i="1"/>
  <c r="F1362" i="1" s="1"/>
  <c r="F1361" i="1"/>
  <c r="F1357" i="1"/>
  <c r="H1357" i="1" s="1"/>
  <c r="F1356" i="1"/>
  <c r="F1353" i="1"/>
  <c r="F1351" i="1"/>
  <c r="F1350" i="1"/>
  <c r="F1345" i="1"/>
  <c r="F1344" i="1" s="1"/>
  <c r="F1343" i="1" s="1"/>
  <c r="F1342" i="1" s="1"/>
  <c r="F1340" i="1"/>
  <c r="F1339" i="1" s="1"/>
  <c r="F1338" i="1" s="1"/>
  <c r="F1335" i="1"/>
  <c r="F1334" i="1"/>
  <c r="F1332" i="1"/>
  <c r="F1330" i="1"/>
  <c r="F1329" i="1"/>
  <c r="F1322" i="1"/>
  <c r="F1321" i="1" s="1"/>
  <c r="F1318" i="1"/>
  <c r="F1316" i="1"/>
  <c r="F1314" i="1"/>
  <c r="F1311" i="1"/>
  <c r="F1309" i="1"/>
  <c r="F1303" i="1"/>
  <c r="F1302" i="1" s="1"/>
  <c r="F1301" i="1"/>
  <c r="F1299" i="1" s="1"/>
  <c r="F1297" i="1"/>
  <c r="F1291" i="1"/>
  <c r="F1290" i="1" s="1"/>
  <c r="F1289" i="1" s="1"/>
  <c r="F1288" i="1" s="1"/>
  <c r="F1287" i="1" s="1"/>
  <c r="F1284" i="1"/>
  <c r="F1281" i="1"/>
  <c r="F1278" i="1"/>
  <c r="F1276" i="1"/>
  <c r="F1275" i="1" s="1"/>
  <c r="F1274" i="1" s="1"/>
  <c r="F1272" i="1"/>
  <c r="F1271" i="1" s="1"/>
  <c r="F1270" i="1" s="1"/>
  <c r="F1268" i="1"/>
  <c r="F1267" i="1"/>
  <c r="F1265" i="1"/>
  <c r="F1264" i="1" s="1"/>
  <c r="F1262" i="1"/>
  <c r="F1260" i="1"/>
  <c r="F1259" i="1"/>
  <c r="F1257" i="1"/>
  <c r="F1256" i="1"/>
  <c r="H1256" i="1" s="1"/>
  <c r="F1254" i="1"/>
  <c r="F1250" i="1"/>
  <c r="F1249" i="1" s="1"/>
  <c r="F1248" i="1"/>
  <c r="F1245" i="1"/>
  <c r="F1243" i="1"/>
  <c r="F1241" i="1"/>
  <c r="F1240" i="1"/>
  <c r="F1239" i="1"/>
  <c r="F1236" i="1" s="1"/>
  <c r="F1235" i="1" s="1"/>
  <c r="F1237" i="1"/>
  <c r="F1234" i="1"/>
  <c r="F1228" i="1"/>
  <c r="F1226" i="1"/>
  <c r="F1225" i="1" s="1"/>
  <c r="F1223" i="1"/>
  <c r="F1222" i="1" s="1"/>
  <c r="F1220" i="1"/>
  <c r="F1218" i="1"/>
  <c r="F1213" i="1"/>
  <c r="F1212" i="1" s="1"/>
  <c r="F1210" i="1"/>
  <c r="F1208" i="1"/>
  <c r="F1206" i="1"/>
  <c r="F1200" i="1"/>
  <c r="F1199" i="1" s="1"/>
  <c r="F1197" i="1"/>
  <c r="H1197" i="1" s="1"/>
  <c r="F1194" i="1"/>
  <c r="F1193" i="1"/>
  <c r="F1190" i="1" s="1"/>
  <c r="F1191" i="1"/>
  <c r="F1189" i="1"/>
  <c r="F1186" i="1"/>
  <c r="F1183" i="1"/>
  <c r="F1182" i="1"/>
  <c r="F1181" i="1"/>
  <c r="H1181" i="1" s="1"/>
  <c r="F1177" i="1"/>
  <c r="F1176" i="1" s="1"/>
  <c r="H1176" i="1" s="1"/>
  <c r="F1174" i="1"/>
  <c r="F1173" i="1" s="1"/>
  <c r="F1172" i="1"/>
  <c r="F1169" i="1"/>
  <c r="F1165" i="1"/>
  <c r="F1163" i="1"/>
  <c r="F1161" i="1"/>
  <c r="F1160" i="1" s="1"/>
  <c r="F1158" i="1"/>
  <c r="F1154" i="1"/>
  <c r="F1152" i="1"/>
  <c r="F1150" i="1"/>
  <c r="F1146" i="1"/>
  <c r="F1145" i="1" s="1"/>
  <c r="F1144" i="1" s="1"/>
  <c r="F1140" i="1"/>
  <c r="F1138" i="1"/>
  <c r="F1136" i="1"/>
  <c r="H1136" i="1" s="1"/>
  <c r="F1134" i="1"/>
  <c r="F1132" i="1"/>
  <c r="F1128" i="1"/>
  <c r="F1127" i="1" s="1"/>
  <c r="F1126" i="1" s="1"/>
  <c r="F1124" i="1"/>
  <c r="F1123" i="1" s="1"/>
  <c r="F1120" i="1" s="1"/>
  <c r="F1121" i="1"/>
  <c r="F1115" i="1"/>
  <c r="F1114" i="1" s="1"/>
  <c r="F1113" i="1"/>
  <c r="F1112" i="1" s="1"/>
  <c r="F1111" i="1" s="1"/>
  <c r="F1109" i="1"/>
  <c r="F1108" i="1" s="1"/>
  <c r="F1105" i="1"/>
  <c r="F1104" i="1" s="1"/>
  <c r="F1103" i="1" s="1"/>
  <c r="F1101" i="1"/>
  <c r="F1100" i="1" s="1"/>
  <c r="F1099" i="1" s="1"/>
  <c r="F1096" i="1"/>
  <c r="F1095" i="1" s="1"/>
  <c r="F1093" i="1"/>
  <c r="F1092" i="1" s="1"/>
  <c r="F1089" i="1"/>
  <c r="F1088" i="1" s="1"/>
  <c r="F1087" i="1" s="1"/>
  <c r="F1084" i="1"/>
  <c r="F1083" i="1" s="1"/>
  <c r="F1081" i="1"/>
  <c r="F1080" i="1"/>
  <c r="F1079" i="1" s="1"/>
  <c r="F1077" i="1"/>
  <c r="F1076" i="1" s="1"/>
  <c r="F1075" i="1" s="1"/>
  <c r="F1073" i="1"/>
  <c r="F1072" i="1" s="1"/>
  <c r="F1070" i="1"/>
  <c r="F1069" i="1" s="1"/>
  <c r="F1066" i="1"/>
  <c r="F1065" i="1" s="1"/>
  <c r="F1064" i="1"/>
  <c r="F1063" i="1" s="1"/>
  <c r="F1061" i="1"/>
  <c r="F1059" i="1"/>
  <c r="F1056" i="1"/>
  <c r="F1054" i="1"/>
  <c r="F1052" i="1"/>
  <c r="F1049" i="1"/>
  <c r="F1047" i="1"/>
  <c r="F1044" i="1"/>
  <c r="F1043" i="1" s="1"/>
  <c r="F1042" i="1"/>
  <c r="F1041" i="1" s="1"/>
  <c r="F1039" i="1"/>
  <c r="F1038" i="1"/>
  <c r="F1037" i="1" s="1"/>
  <c r="F1035" i="1"/>
  <c r="F1032" i="1"/>
  <c r="F1031" i="1" s="1"/>
  <c r="F1029" i="1"/>
  <c r="H1029" i="1" s="1"/>
  <c r="F1027" i="1"/>
  <c r="F1024" i="1"/>
  <c r="F1022" i="1"/>
  <c r="F1020" i="1"/>
  <c r="F1019" i="1" s="1"/>
  <c r="F1016" i="1"/>
  <c r="F1014" i="1"/>
  <c r="F1013" i="1"/>
  <c r="F1010" i="1"/>
  <c r="F1008" i="1"/>
  <c r="F1005" i="1"/>
  <c r="F1004" i="1" s="1"/>
  <c r="F999" i="1"/>
  <c r="F997" i="1"/>
  <c r="F991" i="1"/>
  <c r="F990" i="1" s="1"/>
  <c r="F988" i="1"/>
  <c r="F987" i="1" s="1"/>
  <c r="F986" i="1" s="1"/>
  <c r="F984" i="1"/>
  <c r="F983" i="1" s="1"/>
  <c r="F981" i="1"/>
  <c r="F980" i="1" s="1"/>
  <c r="F978" i="1"/>
  <c r="F977" i="1" s="1"/>
  <c r="F976" i="1"/>
  <c r="H976" i="1" s="1"/>
  <c r="F973" i="1"/>
  <c r="F972" i="1" s="1"/>
  <c r="F970" i="1"/>
  <c r="F968" i="1" s="1"/>
  <c r="F966" i="1"/>
  <c r="F964" i="1"/>
  <c r="F962" i="1"/>
  <c r="F958" i="1"/>
  <c r="F957" i="1" s="1"/>
  <c r="F956" i="1" s="1"/>
  <c r="F954" i="1"/>
  <c r="F953" i="1"/>
  <c r="F950" i="1"/>
  <c r="F949" i="1" s="1"/>
  <c r="F947" i="1"/>
  <c r="F946" i="1" s="1"/>
  <c r="F944" i="1"/>
  <c r="F943" i="1" s="1"/>
  <c r="F941" i="1"/>
  <c r="F939" i="1"/>
  <c r="F937" i="1"/>
  <c r="F935" i="1"/>
  <c r="F933" i="1" s="1"/>
  <c r="F931" i="1"/>
  <c r="F929" i="1"/>
  <c r="F927" i="1"/>
  <c r="F926" i="1" s="1"/>
  <c r="F924" i="1"/>
  <c r="F922" i="1"/>
  <c r="F916" i="1"/>
  <c r="F915" i="1" s="1"/>
  <c r="F910" i="1"/>
  <c r="F909" i="1" s="1"/>
  <c r="F908" i="1" s="1"/>
  <c r="F905" i="1" s="1"/>
  <c r="F904" i="1" s="1"/>
  <c r="F906" i="1"/>
  <c r="H906" i="1" s="1"/>
  <c r="F902" i="1"/>
  <c r="F901" i="1" s="1"/>
  <c r="F900" i="1" s="1"/>
  <c r="F899" i="1" s="1"/>
  <c r="F898" i="1" s="1"/>
  <c r="F893" i="1"/>
  <c r="F892" i="1" s="1"/>
  <c r="F891" i="1" s="1"/>
  <c r="F889" i="1"/>
  <c r="F888" i="1" s="1"/>
  <c r="F887" i="1" s="1"/>
  <c r="F886" i="1" s="1"/>
  <c r="F884" i="1"/>
  <c r="H884" i="1" s="1"/>
  <c r="F882" i="1"/>
  <c r="F874" i="1"/>
  <c r="F873" i="1" s="1"/>
  <c r="F871" i="1"/>
  <c r="F870" i="1" s="1"/>
  <c r="F868" i="1"/>
  <c r="F867" i="1" s="1"/>
  <c r="F866" i="1" s="1"/>
  <c r="F862" i="1"/>
  <c r="F861" i="1" s="1"/>
  <c r="F860" i="1" s="1"/>
  <c r="F859" i="1" s="1"/>
  <c r="F857" i="1"/>
  <c r="F856" i="1" s="1"/>
  <c r="F853" i="1"/>
  <c r="F852" i="1" s="1"/>
  <c r="F851" i="1" s="1"/>
  <c r="F850" i="1"/>
  <c r="F849" i="1"/>
  <c r="F848" i="1" s="1"/>
  <c r="F847" i="1" s="1"/>
  <c r="F846" i="1"/>
  <c r="F845" i="1" s="1"/>
  <c r="F844" i="1" s="1"/>
  <c r="F843" i="1" s="1"/>
  <c r="F842" i="1"/>
  <c r="F841" i="1" s="1"/>
  <c r="F840" i="1"/>
  <c r="F839" i="1" s="1"/>
  <c r="F838" i="1" s="1"/>
  <c r="F837" i="1" s="1"/>
  <c r="F836" i="1" s="1"/>
  <c r="F835" i="1"/>
  <c r="H835" i="1" s="1"/>
  <c r="F834" i="1"/>
  <c r="F833" i="1" s="1"/>
  <c r="F832" i="1" s="1"/>
  <c r="F831" i="1" s="1"/>
  <c r="F830" i="1"/>
  <c r="F829" i="1" s="1"/>
  <c r="F828" i="1" s="1"/>
  <c r="F827" i="1"/>
  <c r="F826" i="1" s="1"/>
  <c r="F825" i="1" s="1"/>
  <c r="F824" i="1" s="1"/>
  <c r="F823" i="1" s="1"/>
  <c r="F822" i="1" s="1"/>
  <c r="F819" i="1"/>
  <c r="F818" i="1" s="1"/>
  <c r="F817" i="1" s="1"/>
  <c r="F816" i="1" s="1"/>
  <c r="F814" i="1"/>
  <c r="F813" i="1" s="1"/>
  <c r="F811" i="1"/>
  <c r="F810" i="1" s="1"/>
  <c r="F807" i="1"/>
  <c r="F806" i="1"/>
  <c r="F802" i="1"/>
  <c r="F801" i="1" s="1"/>
  <c r="F797" i="1"/>
  <c r="F796" i="1"/>
  <c r="F795" i="1" s="1"/>
  <c r="F794" i="1" s="1"/>
  <c r="F793" i="1" s="1"/>
  <c r="F790" i="1"/>
  <c r="F789" i="1" s="1"/>
  <c r="F788" i="1" s="1"/>
  <c r="F787" i="1" s="1"/>
  <c r="F786" i="1" s="1"/>
  <c r="F785" i="1"/>
  <c r="F784" i="1" s="1"/>
  <c r="F783" i="1" s="1"/>
  <c r="F782" i="1" s="1"/>
  <c r="F781" i="1" s="1"/>
  <c r="F780" i="1" s="1"/>
  <c r="F777" i="1"/>
  <c r="F776" i="1" s="1"/>
  <c r="F775" i="1" s="1"/>
  <c r="F774" i="1" s="1"/>
  <c r="F770" i="1"/>
  <c r="F769" i="1" s="1"/>
  <c r="F768" i="1" s="1"/>
  <c r="F767" i="1" s="1"/>
  <c r="F764" i="1"/>
  <c r="F763" i="1" s="1"/>
  <c r="F761" i="1"/>
  <c r="F760" i="1" s="1"/>
  <c r="F759" i="1"/>
  <c r="F758" i="1" s="1"/>
  <c r="F756" i="1"/>
  <c r="F755" i="1" s="1"/>
  <c r="F749" i="1"/>
  <c r="F748" i="1"/>
  <c r="F746" i="1"/>
  <c r="F745" i="1" s="1"/>
  <c r="F741" i="1"/>
  <c r="F740" i="1" s="1"/>
  <c r="F739" i="1" s="1"/>
  <c r="F738" i="1" s="1"/>
  <c r="F737" i="1" s="1"/>
  <c r="F736" i="1"/>
  <c r="F732" i="1"/>
  <c r="F731" i="1" s="1"/>
  <c r="F724" i="1"/>
  <c r="F723" i="1" s="1"/>
  <c r="F721" i="1"/>
  <c r="F720" i="1" s="1"/>
  <c r="H720" i="1" s="1"/>
  <c r="F716" i="1"/>
  <c r="F715" i="1"/>
  <c r="F714" i="1" s="1"/>
  <c r="F712" i="1"/>
  <c r="F710" i="1"/>
  <c r="F707" i="1"/>
  <c r="F706" i="1" s="1"/>
  <c r="F704" i="1"/>
  <c r="F703" i="1" s="1"/>
  <c r="F701" i="1"/>
  <c r="F700" i="1" s="1"/>
  <c r="F697" i="1"/>
  <c r="F696" i="1" s="1"/>
  <c r="F694" i="1"/>
  <c r="H694" i="1" s="1"/>
  <c r="F692" i="1"/>
  <c r="F690" i="1"/>
  <c r="F686" i="1"/>
  <c r="F684" i="1"/>
  <c r="F682" i="1"/>
  <c r="F681" i="1"/>
  <c r="F676" i="1"/>
  <c r="F675" i="1" s="1"/>
  <c r="F674" i="1" s="1"/>
  <c r="F669" i="1" s="1"/>
  <c r="F672" i="1"/>
  <c r="F670" i="1"/>
  <c r="F667" i="1"/>
  <c r="F666" i="1" s="1"/>
  <c r="F665" i="1" s="1"/>
  <c r="F663" i="1"/>
  <c r="F661" i="1"/>
  <c r="F660" i="1" s="1"/>
  <c r="F659" i="1"/>
  <c r="F658" i="1" s="1"/>
  <c r="F655" i="1"/>
  <c r="F653" i="1"/>
  <c r="F647" i="1"/>
  <c r="F645" i="1"/>
  <c r="F639" i="1"/>
  <c r="F636" i="1"/>
  <c r="H636" i="1" s="1"/>
  <c r="F634" i="1"/>
  <c r="F633" i="1" s="1"/>
  <c r="F631" i="1"/>
  <c r="H631" i="1" s="1"/>
  <c r="F626" i="1"/>
  <c r="F624" i="1"/>
  <c r="F622" i="1"/>
  <c r="F617" i="1"/>
  <c r="F616" i="1" s="1"/>
  <c r="F615" i="1" s="1"/>
  <c r="F614" i="1" s="1"/>
  <c r="F613" i="1" s="1"/>
  <c r="F610" i="1"/>
  <c r="F609" i="1" s="1"/>
  <c r="F608" i="1" s="1"/>
  <c r="F607" i="1" s="1"/>
  <c r="F606" i="1" s="1"/>
  <c r="F603" i="1"/>
  <c r="F602" i="1" s="1"/>
  <c r="F601" i="1" s="1"/>
  <c r="F600" i="1" s="1"/>
  <c r="F599" i="1" s="1"/>
  <c r="F598" i="1" s="1"/>
  <c r="F595" i="1"/>
  <c r="F594" i="1" s="1"/>
  <c r="F593" i="1" s="1"/>
  <c r="F592" i="1" s="1"/>
  <c r="F591" i="1" s="1"/>
  <c r="F589" i="1"/>
  <c r="F588" i="1" s="1"/>
  <c r="F587" i="1" s="1"/>
  <c r="F586" i="1" s="1"/>
  <c r="F585" i="1" s="1"/>
  <c r="F582" i="1"/>
  <c r="F581" i="1" s="1"/>
  <c r="F580" i="1" s="1"/>
  <c r="F578" i="1"/>
  <c r="F577" i="1" s="1"/>
  <c r="F575" i="1"/>
  <c r="F574" i="1" s="1"/>
  <c r="F573" i="1"/>
  <c r="H573" i="1" s="1"/>
  <c r="F568" i="1"/>
  <c r="F567" i="1" s="1"/>
  <c r="F566" i="1"/>
  <c r="F565" i="1" s="1"/>
  <c r="F559" i="1"/>
  <c r="F558" i="1" s="1"/>
  <c r="F557" i="1" s="1"/>
  <c r="F556" i="1" s="1"/>
  <c r="F552" i="1"/>
  <c r="F551" i="1" s="1"/>
  <c r="F550" i="1"/>
  <c r="F548" i="1"/>
  <c r="F546" i="1"/>
  <c r="F542" i="1"/>
  <c r="F541" i="1" s="1"/>
  <c r="F537" i="1"/>
  <c r="F536" i="1" s="1"/>
  <c r="F534" i="1"/>
  <c r="F533" i="1" s="1"/>
  <c r="F532" i="1" s="1"/>
  <c r="F530" i="1"/>
  <c r="F529" i="1" s="1"/>
  <c r="F527" i="1"/>
  <c r="F526" i="1"/>
  <c r="F524" i="1" s="1"/>
  <c r="F522" i="1"/>
  <c r="F517" i="1"/>
  <c r="F516" i="1" s="1"/>
  <c r="F515" i="1" s="1"/>
  <c r="F514" i="1" s="1"/>
  <c r="F513" i="1" s="1"/>
  <c r="F511" i="1"/>
  <c r="F510" i="1" s="1"/>
  <c r="F509" i="1" s="1"/>
  <c r="F508" i="1" s="1"/>
  <c r="F507" i="1" s="1"/>
  <c r="F505" i="1"/>
  <c r="F504" i="1" s="1"/>
  <c r="F503" i="1" s="1"/>
  <c r="F501" i="1"/>
  <c r="F500" i="1" s="1"/>
  <c r="F499" i="1" s="1"/>
  <c r="F498" i="1" s="1"/>
  <c r="F497" i="1" s="1"/>
  <c r="F494" i="1"/>
  <c r="F493" i="1" s="1"/>
  <c r="F492" i="1" s="1"/>
  <c r="F491" i="1" s="1"/>
  <c r="F490" i="1" s="1"/>
  <c r="F488" i="1"/>
  <c r="F486" i="1"/>
  <c r="F485" i="1" s="1"/>
  <c r="F484" i="1" s="1"/>
  <c r="F483" i="1" s="1"/>
  <c r="F479" i="1"/>
  <c r="F478" i="1" s="1"/>
  <c r="F477" i="1" s="1"/>
  <c r="F474" i="1"/>
  <c r="F473" i="1" s="1"/>
  <c r="F472" i="1" s="1"/>
  <c r="F471" i="1" s="1"/>
  <c r="F469" i="1"/>
  <c r="F468" i="1" s="1"/>
  <c r="F467" i="1" s="1"/>
  <c r="F466" i="1" s="1"/>
  <c r="F465" i="1" s="1"/>
  <c r="F461" i="1"/>
  <c r="F459" i="1"/>
  <c r="F458" i="1" s="1"/>
  <c r="F457" i="1"/>
  <c r="H457" i="1" s="1"/>
  <c r="F456" i="1"/>
  <c r="F453" i="1" s="1"/>
  <c r="F452" i="1" s="1"/>
  <c r="F454" i="1"/>
  <c r="F450" i="1"/>
  <c r="F449" i="1" s="1"/>
  <c r="F447" i="1"/>
  <c r="F444" i="1" s="1"/>
  <c r="F446" i="1"/>
  <c r="F445" i="1" s="1"/>
  <c r="F443" i="1" s="1"/>
  <c r="F441" i="1"/>
  <c r="F440" i="1" s="1"/>
  <c r="F439" i="1" s="1"/>
  <c r="F437" i="1"/>
  <c r="F436" i="1" s="1"/>
  <c r="F433" i="1"/>
  <c r="F432" i="1" s="1"/>
  <c r="F430" i="1"/>
  <c r="F429" i="1" s="1"/>
  <c r="F426" i="1"/>
  <c r="F425" i="1" s="1"/>
  <c r="F424" i="1" s="1"/>
  <c r="F423" i="1" s="1"/>
  <c r="F422" i="1" s="1"/>
  <c r="F421" i="1"/>
  <c r="F420" i="1" s="1"/>
  <c r="F419" i="1" s="1"/>
  <c r="F418" i="1"/>
  <c r="F417" i="1" s="1"/>
  <c r="F416" i="1" s="1"/>
  <c r="F411" i="1"/>
  <c r="F410" i="1" s="1"/>
  <c r="F409" i="1" s="1"/>
  <c r="F408" i="1" s="1"/>
  <c r="F407" i="1" s="1"/>
  <c r="F405" i="1"/>
  <c r="F404" i="1" s="1"/>
  <c r="F403" i="1" s="1"/>
  <c r="F402" i="1" s="1"/>
  <c r="F401" i="1" s="1"/>
  <c r="F399" i="1"/>
  <c r="F398" i="1" s="1"/>
  <c r="F397" i="1" s="1"/>
  <c r="F396" i="1" s="1"/>
  <c r="F395" i="1" s="1"/>
  <c r="F393" i="1"/>
  <c r="F392" i="1" s="1"/>
  <c r="F391" i="1" s="1"/>
  <c r="F390" i="1" s="1"/>
  <c r="F387" i="1"/>
  <c r="F386" i="1" s="1"/>
  <c r="F385" i="1" s="1"/>
  <c r="F383" i="1"/>
  <c r="F382" i="1" s="1"/>
  <c r="F379" i="1"/>
  <c r="F378" i="1" s="1"/>
  <c r="F377" i="1"/>
  <c r="F371" i="1"/>
  <c r="F370" i="1" s="1"/>
  <c r="F369" i="1" s="1"/>
  <c r="F368" i="1" s="1"/>
  <c r="F367" i="1" s="1"/>
  <c r="F365" i="1"/>
  <c r="F364" i="1" s="1"/>
  <c r="F362" i="1"/>
  <c r="F361" i="1"/>
  <c r="F357" i="1"/>
  <c r="H357" i="1" s="1"/>
  <c r="F354" i="1"/>
  <c r="H354" i="1" s="1"/>
  <c r="F350" i="1"/>
  <c r="F349" i="1" s="1"/>
  <c r="F348" i="1" s="1"/>
  <c r="F347" i="1" s="1"/>
  <c r="F345" i="1"/>
  <c r="F343" i="1"/>
  <c r="H343" i="1" s="1"/>
  <c r="F342" i="1"/>
  <c r="H342" i="1" s="1"/>
  <c r="F340" i="1"/>
  <c r="F338" i="1"/>
  <c r="F337" i="1" s="1"/>
  <c r="F334" i="1"/>
  <c r="F330" i="1"/>
  <c r="F329" i="1" s="1"/>
  <c r="F327" i="1"/>
  <c r="H327" i="1" s="1"/>
  <c r="F326" i="1"/>
  <c r="F325" i="1" s="1"/>
  <c r="F323" i="1"/>
  <c r="F322" i="1" s="1"/>
  <c r="F320" i="1"/>
  <c r="F319" i="1" s="1"/>
  <c r="F318" i="1"/>
  <c r="F317" i="1" s="1"/>
  <c r="F315" i="1"/>
  <c r="F313" i="1" s="1"/>
  <c r="F312" i="1"/>
  <c r="H312" i="1" s="1"/>
  <c r="F308" i="1"/>
  <c r="F305" i="1"/>
  <c r="F298" i="1"/>
  <c r="F297" i="1"/>
  <c r="F296" i="1"/>
  <c r="F295" i="1" s="1"/>
  <c r="F287" i="1"/>
  <c r="F285" i="1"/>
  <c r="F279" i="1"/>
  <c r="F278" i="1" s="1"/>
  <c r="F277" i="1" s="1"/>
  <c r="F275" i="1"/>
  <c r="F274" i="1"/>
  <c r="F273" i="1" s="1"/>
  <c r="F272" i="1" s="1"/>
  <c r="F271" i="1" s="1"/>
  <c r="F270" i="1" s="1"/>
  <c r="F269" i="1"/>
  <c r="H269" i="1" s="1"/>
  <c r="F266" i="1"/>
  <c r="F265" i="1" s="1"/>
  <c r="F264" i="1"/>
  <c r="F263" i="1" s="1"/>
  <c r="F262" i="1" s="1"/>
  <c r="F261" i="1"/>
  <c r="F258" i="1"/>
  <c r="F257" i="1" s="1"/>
  <c r="F256" i="1"/>
  <c r="F253" i="1"/>
  <c r="F252" i="1" s="1"/>
  <c r="F251" i="1"/>
  <c r="F249" i="1"/>
  <c r="F246" i="1"/>
  <c r="H246" i="1" s="1"/>
  <c r="F244" i="1"/>
  <c r="F241" i="1"/>
  <c r="F239" i="1"/>
  <c r="F238" i="1" s="1"/>
  <c r="F236" i="1"/>
  <c r="F235" i="1" s="1"/>
  <c r="F234" i="1"/>
  <c r="F233" i="1" s="1"/>
  <c r="F231" i="1"/>
  <c r="F230" i="1"/>
  <c r="F229" i="1"/>
  <c r="F228" i="1" s="1"/>
  <c r="F227" i="1" s="1"/>
  <c r="F225" i="1"/>
  <c r="F222" i="1" s="1"/>
  <c r="F221" i="1"/>
  <c r="F218" i="1" s="1"/>
  <c r="F216" i="1"/>
  <c r="F214" i="1"/>
  <c r="F211" i="1"/>
  <c r="F210" i="1" s="1"/>
  <c r="F208" i="1"/>
  <c r="F207" i="1" s="1"/>
  <c r="F204" i="1"/>
  <c r="F203" i="1" s="1"/>
  <c r="F201" i="1"/>
  <c r="F198" i="1" s="1"/>
  <c r="F199" i="1"/>
  <c r="F196" i="1"/>
  <c r="F195" i="1"/>
  <c r="F194" i="1" s="1"/>
  <c r="F191" i="1"/>
  <c r="F190" i="1" s="1"/>
  <c r="F185" i="1"/>
  <c r="F184" i="1" s="1"/>
  <c r="F181" i="1"/>
  <c r="F179" i="1"/>
  <c r="F177" i="1"/>
  <c r="F175" i="1"/>
  <c r="F170" i="1"/>
  <c r="F169" i="1" s="1"/>
  <c r="F168" i="1" s="1"/>
  <c r="F167" i="1" s="1"/>
  <c r="F166" i="1" s="1"/>
  <c r="F164" i="1"/>
  <c r="F161" i="1" s="1"/>
  <c r="F160" i="1" s="1"/>
  <c r="F159" i="1" s="1"/>
  <c r="F162" i="1"/>
  <c r="F158" i="1"/>
  <c r="F155" i="1"/>
  <c r="F154" i="1" s="1"/>
  <c r="F151" i="1"/>
  <c r="F149" i="1"/>
  <c r="F143" i="1"/>
  <c r="F140" i="1"/>
  <c r="F139" i="1" s="1"/>
  <c r="F138" i="1" s="1"/>
  <c r="F137" i="1" s="1"/>
  <c r="F136" i="1" s="1"/>
  <c r="F134" i="1"/>
  <c r="F133" i="1" s="1"/>
  <c r="F132" i="1" s="1"/>
  <c r="F131" i="1" s="1"/>
  <c r="F130" i="1"/>
  <c r="F129" i="1" s="1"/>
  <c r="F128" i="1"/>
  <c r="F127" i="1" s="1"/>
  <c r="F121" i="1"/>
  <c r="F118" i="1" s="1"/>
  <c r="F117" i="1" s="1"/>
  <c r="F116" i="1" s="1"/>
  <c r="F115" i="1" s="1"/>
  <c r="F119" i="1"/>
  <c r="F114" i="1"/>
  <c r="F113" i="1" s="1"/>
  <c r="F112" i="1"/>
  <c r="F111" i="1" s="1"/>
  <c r="F108" i="1"/>
  <c r="F107" i="1" s="1"/>
  <c r="F106" i="1"/>
  <c r="F105" i="1" s="1"/>
  <c r="F101" i="1"/>
  <c r="H101" i="1" s="1"/>
  <c r="F99" i="1"/>
  <c r="H99" i="1" s="1"/>
  <c r="F98" i="1"/>
  <c r="H98" i="1" s="1"/>
  <c r="F95" i="1"/>
  <c r="F94" i="1" s="1"/>
  <c r="F93" i="1"/>
  <c r="F92" i="1" s="1"/>
  <c r="F87" i="1"/>
  <c r="F86" i="1" s="1"/>
  <c r="F85" i="1"/>
  <c r="F84" i="1"/>
  <c r="F78" i="1"/>
  <c r="F77" i="1" s="1"/>
  <c r="F76" i="1" s="1"/>
  <c r="F75" i="1" s="1"/>
  <c r="F73" i="1"/>
  <c r="F72" i="1"/>
  <c r="F71" i="1" s="1"/>
  <c r="F66" i="1"/>
  <c r="F64" i="1"/>
  <c r="F63" i="1" s="1"/>
  <c r="F57" i="1"/>
  <c r="F56" i="1"/>
  <c r="F53" i="1" s="1"/>
  <c r="F52" i="1"/>
  <c r="F51" i="1" s="1"/>
  <c r="H51" i="1" s="1"/>
  <c r="F50" i="1"/>
  <c r="F49" i="1" s="1"/>
  <c r="F45" i="1"/>
  <c r="H45" i="1" s="1"/>
  <c r="F44" i="1"/>
  <c r="F43" i="1" s="1"/>
  <c r="F42" i="1" s="1"/>
  <c r="F39" i="1"/>
  <c r="F38" i="1" s="1"/>
  <c r="H38" i="1" s="1"/>
  <c r="F37" i="1"/>
  <c r="F29" i="1"/>
  <c r="F28" i="1" s="1"/>
  <c r="F26" i="1"/>
  <c r="F24" i="1"/>
  <c r="H24" i="1" s="1"/>
  <c r="F22" i="1"/>
  <c r="F21" i="1"/>
  <c r="F17" i="1"/>
  <c r="F13" i="1"/>
  <c r="F12" i="1" s="1"/>
  <c r="F11" i="1" s="1"/>
  <c r="F644" i="1" l="1"/>
  <c r="F643" i="1" s="1"/>
  <c r="F642" i="1" s="1"/>
  <c r="H645" i="1"/>
  <c r="F1261" i="1"/>
  <c r="H1800" i="1"/>
  <c r="F1799" i="1"/>
  <c r="H1716" i="1"/>
  <c r="H170" i="1"/>
  <c r="H721" i="1"/>
  <c r="G274" i="1"/>
  <c r="G273" i="1" s="1"/>
  <c r="G272" i="1" s="1"/>
  <c r="H275" i="1"/>
  <c r="G723" i="1"/>
  <c r="G719" i="1" s="1"/>
  <c r="G718" i="1" s="1"/>
  <c r="H724" i="1"/>
  <c r="F65" i="1"/>
  <c r="H66" i="1"/>
  <c r="H158" i="1"/>
  <c r="F157" i="1"/>
  <c r="F156" i="1" s="1"/>
  <c r="H156" i="1" s="1"/>
  <c r="H461" i="1"/>
  <c r="F460" i="1"/>
  <c r="H460" i="1" s="1"/>
  <c r="F520" i="1"/>
  <c r="F689" i="1"/>
  <c r="F688" i="1" s="1"/>
  <c r="F996" i="1"/>
  <c r="F995" i="1" s="1"/>
  <c r="F994" i="1" s="1"/>
  <c r="H997" i="1"/>
  <c r="H1189" i="1"/>
  <c r="F1188" i="1"/>
  <c r="F1185" i="1" s="1"/>
  <c r="F1638" i="1"/>
  <c r="F1842" i="1" s="1"/>
  <c r="H1639" i="1"/>
  <c r="F1798" i="1"/>
  <c r="F1797" i="1" s="1"/>
  <c r="F1796" i="1" s="1"/>
  <c r="H1671" i="1"/>
  <c r="H1613" i="1"/>
  <c r="H1044" i="1"/>
  <c r="H785" i="1"/>
  <c r="G174" i="1"/>
  <c r="G173" i="1" s="1"/>
  <c r="G172" i="1" s="1"/>
  <c r="H164" i="1"/>
  <c r="G89" i="1"/>
  <c r="H26" i="1"/>
  <c r="H114" i="1"/>
  <c r="H155" i="1"/>
  <c r="H266" i="1"/>
  <c r="H315" i="1"/>
  <c r="H1571" i="1"/>
  <c r="H1603" i="1"/>
  <c r="G146" i="1"/>
  <c r="G145" i="1" s="1"/>
  <c r="H207" i="1"/>
  <c r="H214" i="1"/>
  <c r="G213" i="1"/>
  <c r="G445" i="1"/>
  <c r="H446" i="1"/>
  <c r="G510" i="1"/>
  <c r="G509" i="1" s="1"/>
  <c r="G508" i="1" s="1"/>
  <c r="G507" i="1" s="1"/>
  <c r="H511" i="1"/>
  <c r="G630" i="1"/>
  <c r="G629" i="1" s="1"/>
  <c r="G628" i="1" s="1"/>
  <c r="G706" i="1"/>
  <c r="G699" i="1" s="1"/>
  <c r="H707" i="1"/>
  <c r="H1054" i="1"/>
  <c r="H1220" i="1"/>
  <c r="H1241" i="1"/>
  <c r="H1043" i="1"/>
  <c r="H1392" i="1"/>
  <c r="G1575" i="1"/>
  <c r="G1574" i="1" s="1"/>
  <c r="G1573" i="1" s="1"/>
  <c r="G1773" i="1"/>
  <c r="G1058" i="1"/>
  <c r="H1133" i="1"/>
  <c r="G1132" i="1"/>
  <c r="G1131" i="1" s="1"/>
  <c r="G1130" i="1" s="1"/>
  <c r="H1140" i="1"/>
  <c r="H1219" i="1"/>
  <c r="G1218" i="1"/>
  <c r="G226" i="1"/>
  <c r="F70" i="1"/>
  <c r="F69" i="1" s="1"/>
  <c r="F68" i="1" s="1"/>
  <c r="F67" i="1" s="1"/>
  <c r="F91" i="1"/>
  <c r="F90" i="1" s="1"/>
  <c r="F174" i="1"/>
  <c r="F173" i="1" s="1"/>
  <c r="F172" i="1" s="1"/>
  <c r="F284" i="1"/>
  <c r="F283" i="1" s="1"/>
  <c r="F282" i="1" s="1"/>
  <c r="F281" i="1" s="1"/>
  <c r="F545" i="1"/>
  <c r="F544" i="1" s="1"/>
  <c r="H806" i="1"/>
  <c r="F921" i="1"/>
  <c r="F971" i="1"/>
  <c r="H1158" i="1"/>
  <c r="H1194" i="1"/>
  <c r="F1546" i="1"/>
  <c r="F1744" i="1"/>
  <c r="H1744" i="1" s="1"/>
  <c r="H1745" i="1"/>
  <c r="H1128" i="1"/>
  <c r="H1093" i="1"/>
  <c r="H874" i="1"/>
  <c r="H868" i="1"/>
  <c r="H57" i="1"/>
  <c r="H39" i="1"/>
  <c r="H566" i="1"/>
  <c r="H944" i="1"/>
  <c r="H1417" i="1"/>
  <c r="H1698" i="1"/>
  <c r="H63" i="1"/>
  <c r="G360" i="1"/>
  <c r="G359" i="1" s="1"/>
  <c r="G563" i="1"/>
  <c r="G562" i="1" s="1"/>
  <c r="G561" i="1" s="1"/>
  <c r="H655" i="1"/>
  <c r="H663" i="1"/>
  <c r="G730" i="1"/>
  <c r="G729" i="1" s="1"/>
  <c r="G728" i="1" s="1"/>
  <c r="H745" i="1"/>
  <c r="G838" i="1"/>
  <c r="G837" i="1" s="1"/>
  <c r="H1138" i="1"/>
  <c r="G1261" i="1"/>
  <c r="G1251" i="1" s="1"/>
  <c r="G1283" i="1"/>
  <c r="G1282" i="1" s="1"/>
  <c r="H1335" i="1"/>
  <c r="H1414" i="1"/>
  <c r="H1458" i="1"/>
  <c r="H1836" i="1"/>
  <c r="G1205" i="1"/>
  <c r="G1204" i="1" s="1"/>
  <c r="G1203" i="1" s="1"/>
  <c r="G921" i="1"/>
  <c r="H939" i="1"/>
  <c r="H1056" i="1"/>
  <c r="G1196" i="1"/>
  <c r="G1195" i="1" s="1"/>
  <c r="G1546" i="1"/>
  <c r="G1545" i="1" s="1"/>
  <c r="G1544" i="1" s="1"/>
  <c r="G1564" i="1"/>
  <c r="G1563" i="1" s="1"/>
  <c r="G1579" i="1"/>
  <c r="H1706" i="1"/>
  <c r="G1728" i="1"/>
  <c r="G1727" i="1" s="1"/>
  <c r="G1726" i="1" s="1"/>
  <c r="G1725" i="1" s="1"/>
  <c r="G1724" i="1" s="1"/>
  <c r="G316" i="1"/>
  <c r="H1008" i="1"/>
  <c r="G1245" i="1"/>
  <c r="H143" i="1"/>
  <c r="G102" i="1"/>
  <c r="G88" i="1" s="1"/>
  <c r="G1797" i="1"/>
  <c r="G1796" i="1" s="1"/>
  <c r="G1785" i="1" s="1"/>
  <c r="G1772" i="1" s="1"/>
  <c r="G1601" i="1"/>
  <c r="G1600" i="1" s="1"/>
  <c r="G1599" i="1" s="1"/>
  <c r="G1598" i="1" s="1"/>
  <c r="G1541" i="1"/>
  <c r="G1540" i="1" s="1"/>
  <c r="G1539" i="1" s="1"/>
  <c r="G1538" i="1" s="1"/>
  <c r="H1494" i="1"/>
  <c r="G1471" i="1"/>
  <c r="G1470" i="1" s="1"/>
  <c r="G1469" i="1" s="1"/>
  <c r="G1462" i="1"/>
  <c r="G1461" i="1" s="1"/>
  <c r="G1460" i="1" s="1"/>
  <c r="G1453" i="1"/>
  <c r="G1452" i="1" s="1"/>
  <c r="G1451" i="1" s="1"/>
  <c r="G1450" i="1" s="1"/>
  <c r="G1426" i="1"/>
  <c r="G1425" i="1" s="1"/>
  <c r="G1424" i="1" s="1"/>
  <c r="G1423" i="1" s="1"/>
  <c r="G1411" i="1"/>
  <c r="G1410" i="1" s="1"/>
  <c r="G1409" i="1" s="1"/>
  <c r="G1408" i="1" s="1"/>
  <c r="G1389" i="1"/>
  <c r="G1388" i="1" s="1"/>
  <c r="G1348" i="1"/>
  <c r="G1347" i="1" s="1"/>
  <c r="G1315" i="1"/>
  <c r="G1237" i="1"/>
  <c r="H1227" i="1"/>
  <c r="H1224" i="1"/>
  <c r="H1206" i="1"/>
  <c r="H1142" i="1"/>
  <c r="H1132" i="1"/>
  <c r="G1070" i="1"/>
  <c r="G1069" i="1" s="1"/>
  <c r="G1068" i="1" s="1"/>
  <c r="H1060" i="1"/>
  <c r="G971" i="1"/>
  <c r="G968" i="1"/>
  <c r="G961" i="1" s="1"/>
  <c r="G960" i="1" s="1"/>
  <c r="H963" i="1"/>
  <c r="H955" i="1"/>
  <c r="G937" i="1"/>
  <c r="H928" i="1"/>
  <c r="H922" i="1"/>
  <c r="G809" i="1"/>
  <c r="G800" i="1"/>
  <c r="G754" i="1"/>
  <c r="G690" i="1"/>
  <c r="G689" i="1" s="1"/>
  <c r="G688" i="1" s="1"/>
  <c r="G660" i="1"/>
  <c r="H660" i="1" s="1"/>
  <c r="H661" i="1"/>
  <c r="H662" i="1"/>
  <c r="H653" i="1"/>
  <c r="G652" i="1"/>
  <c r="H654" i="1"/>
  <c r="G644" i="1"/>
  <c r="G643" i="1" s="1"/>
  <c r="G642" i="1" s="1"/>
  <c r="G522" i="1"/>
  <c r="G520" i="1" s="1"/>
  <c r="G443" i="1"/>
  <c r="G428" i="1"/>
  <c r="G321" i="1"/>
  <c r="G302" i="1"/>
  <c r="H258" i="1"/>
  <c r="H231" i="1"/>
  <c r="G193" i="1"/>
  <c r="G189" i="1" s="1"/>
  <c r="G188" i="1" s="1"/>
  <c r="G187" i="1" s="1"/>
  <c r="H382" i="1"/>
  <c r="G1623" i="1"/>
  <c r="G1834" i="1"/>
  <c r="H225" i="1"/>
  <c r="G222" i="1"/>
  <c r="G284" i="1"/>
  <c r="G283" i="1" s="1"/>
  <c r="G282" i="1" s="1"/>
  <c r="G281" i="1" s="1"/>
  <c r="H287" i="1"/>
  <c r="G410" i="1"/>
  <c r="G409" i="1" s="1"/>
  <c r="G408" i="1" s="1"/>
  <c r="G407" i="1" s="1"/>
  <c r="H411" i="1"/>
  <c r="G458" i="1"/>
  <c r="H458" i="1" s="1"/>
  <c r="H459" i="1"/>
  <c r="G602" i="1"/>
  <c r="G601" i="1" s="1"/>
  <c r="G600" i="1" s="1"/>
  <c r="G599" i="1" s="1"/>
  <c r="G598" i="1" s="1"/>
  <c r="G597" i="1" s="1"/>
  <c r="H603" i="1"/>
  <c r="H700" i="1"/>
  <c r="G776" i="1"/>
  <c r="G775" i="1" s="1"/>
  <c r="G774" i="1" s="1"/>
  <c r="G773" i="1" s="1"/>
  <c r="H777" i="1"/>
  <c r="G271" i="1"/>
  <c r="G270" i="1" s="1"/>
  <c r="H676" i="1"/>
  <c r="H362" i="1"/>
  <c r="G310" i="1"/>
  <c r="G309" i="1" s="1"/>
  <c r="G1007" i="1"/>
  <c r="G1512" i="1"/>
  <c r="G1511" i="1" s="1"/>
  <c r="G1525" i="1"/>
  <c r="G1524" i="1" s="1"/>
  <c r="G1559" i="1"/>
  <c r="G1585" i="1"/>
  <c r="G1584" i="1" s="1"/>
  <c r="G1644" i="1"/>
  <c r="G1643" i="1" s="1"/>
  <c r="G1712" i="1"/>
  <c r="G386" i="1"/>
  <c r="G385" i="1" s="1"/>
  <c r="G381" i="1" s="1"/>
  <c r="G358" i="1" s="1"/>
  <c r="H387" i="1"/>
  <c r="G926" i="1"/>
  <c r="H929" i="1"/>
  <c r="H1038" i="1"/>
  <c r="G1037" i="1"/>
  <c r="H1037" i="1" s="1"/>
  <c r="G1384" i="1"/>
  <c r="G1383" i="1" s="1"/>
  <c r="G1382" i="1" s="1"/>
  <c r="H1385" i="1"/>
  <c r="H1089" i="1"/>
  <c r="H546" i="1"/>
  <c r="G540" i="1"/>
  <c r="G571" i="1"/>
  <c r="G570" i="1" s="1"/>
  <c r="G584" i="1"/>
  <c r="G583" i="1" s="1"/>
  <c r="G669" i="1"/>
  <c r="G847" i="1"/>
  <c r="G836" i="1" s="1"/>
  <c r="G855" i="1"/>
  <c r="G897" i="1"/>
  <c r="G896" i="1" s="1"/>
  <c r="G1051" i="1"/>
  <c r="G1107" i="1"/>
  <c r="G1160" i="1"/>
  <c r="G1159" i="1" s="1"/>
  <c r="G1149" i="1" s="1"/>
  <c r="G1148" i="1" s="1"/>
  <c r="G1337" i="1"/>
  <c r="G1320" i="1" s="1"/>
  <c r="G1484" i="1"/>
  <c r="H330" i="1"/>
  <c r="G329" i="1"/>
  <c r="H454" i="1"/>
  <c r="G453" i="1"/>
  <c r="G452" i="1" s="1"/>
  <c r="H522" i="1"/>
  <c r="G240" i="1"/>
  <c r="G294" i="1"/>
  <c r="G293" i="1" s="1"/>
  <c r="G292" i="1" s="1"/>
  <c r="G291" i="1" s="1"/>
  <c r="G290" i="1" s="1"/>
  <c r="G744" i="1"/>
  <c r="G743" i="1" s="1"/>
  <c r="G727" i="1" s="1"/>
  <c r="G1098" i="1"/>
  <c r="G1296" i="1"/>
  <c r="G1295" i="1" s="1"/>
  <c r="G1294" i="1" s="1"/>
  <c r="G1293" i="1" s="1"/>
  <c r="G1307" i="1"/>
  <c r="G1306" i="1" s="1"/>
  <c r="G1305" i="1" s="1"/>
  <c r="G1394" i="1"/>
  <c r="G1694" i="1"/>
  <c r="G1693" i="1" s="1"/>
  <c r="G1668" i="1" s="1"/>
  <c r="G1738" i="1"/>
  <c r="G1737" i="1" s="1"/>
  <c r="G1736" i="1" s="1"/>
  <c r="G1735" i="1" s="1"/>
  <c r="G1723" i="1" s="1"/>
  <c r="H203" i="1"/>
  <c r="H244" i="1"/>
  <c r="H1152" i="1"/>
  <c r="H1260" i="1"/>
  <c r="H1281" i="1"/>
  <c r="G1611" i="1"/>
  <c r="G1597" i="1" s="1"/>
  <c r="G1705" i="1"/>
  <c r="G1704" i="1" s="1"/>
  <c r="G1703" i="1" s="1"/>
  <c r="G1839" i="1"/>
  <c r="H1839" i="1" s="1"/>
  <c r="H1332" i="1"/>
  <c r="H1747" i="1"/>
  <c r="H249" i="1"/>
  <c r="H1353" i="1"/>
  <c r="G1618" i="1"/>
  <c r="H111" i="1"/>
  <c r="H107" i="1"/>
  <c r="G105" i="1"/>
  <c r="G104" i="1" s="1"/>
  <c r="G103" i="1" s="1"/>
  <c r="G53" i="1"/>
  <c r="H53" i="1" s="1"/>
  <c r="H50" i="1"/>
  <c r="H22" i="1"/>
  <c r="H21" i="1"/>
  <c r="F333" i="1"/>
  <c r="F332" i="1" s="1"/>
  <c r="F328" i="1" s="1"/>
  <c r="H334" i="1"/>
  <c r="F1308" i="1"/>
  <c r="H1309" i="1"/>
  <c r="F1865" i="1"/>
  <c r="F1651" i="1"/>
  <c r="F1864" i="1" s="1"/>
  <c r="H1654" i="1"/>
  <c r="H1655" i="1"/>
  <c r="H1577" i="1"/>
  <c r="H1486" i="1"/>
  <c r="H1485" i="1"/>
  <c r="H1419" i="1"/>
  <c r="H1418" i="1"/>
  <c r="H1101" i="1"/>
  <c r="H764" i="1"/>
  <c r="H763" i="1"/>
  <c r="H692" i="1"/>
  <c r="H386" i="1"/>
  <c r="H338" i="1"/>
  <c r="G152" i="1"/>
  <c r="H1482" i="1"/>
  <c r="F1481" i="1"/>
  <c r="H1827" i="1"/>
  <c r="H1547" i="1"/>
  <c r="H1464" i="1"/>
  <c r="H1463" i="1"/>
  <c r="H1124" i="1"/>
  <c r="H1123" i="1"/>
  <c r="H1092" i="1"/>
  <c r="H893" i="1"/>
  <c r="H801" i="1"/>
  <c r="H802" i="1"/>
  <c r="H759" i="1"/>
  <c r="H758" i="1"/>
  <c r="H610" i="1"/>
  <c r="H505" i="1"/>
  <c r="F1454" i="1"/>
  <c r="F1453" i="1" s="1"/>
  <c r="F1452" i="1" s="1"/>
  <c r="F1451" i="1" s="1"/>
  <c r="F1450" i="1" s="1"/>
  <c r="H1455" i="1"/>
  <c r="H1850" i="1"/>
  <c r="H1851" i="1"/>
  <c r="H1721" i="1"/>
  <c r="H1862" i="1"/>
  <c r="H1515" i="1"/>
  <c r="H1363" i="1"/>
  <c r="H1362" i="1"/>
  <c r="H1278" i="1"/>
  <c r="H1265" i="1"/>
  <c r="H1264" i="1"/>
  <c r="H1213" i="1"/>
  <c r="H1212" i="1"/>
  <c r="H1115" i="1"/>
  <c r="H1114" i="1"/>
  <c r="H1075" i="1"/>
  <c r="H1076" i="1"/>
  <c r="H1032" i="1"/>
  <c r="H1031" i="1"/>
  <c r="H958" i="1"/>
  <c r="H830" i="1"/>
  <c r="H790" i="1"/>
  <c r="H749" i="1"/>
  <c r="H667" i="1"/>
  <c r="H471" i="1"/>
  <c r="H472" i="1"/>
  <c r="H416" i="1"/>
  <c r="H417" i="1"/>
  <c r="H379" i="1"/>
  <c r="H378" i="1"/>
  <c r="H1121" i="1"/>
  <c r="F744" i="1"/>
  <c r="F743" i="1" s="1"/>
  <c r="F1068" i="1"/>
  <c r="F1216" i="1"/>
  <c r="F1215" i="1" s="1"/>
  <c r="F1375" i="1"/>
  <c r="F1374" i="1" s="1"/>
  <c r="F1373" i="1" s="1"/>
  <c r="F1694" i="1"/>
  <c r="F1693" i="1" s="1"/>
  <c r="F1739" i="1"/>
  <c r="H1799" i="1"/>
  <c r="H1495" i="1"/>
  <c r="H1302" i="1"/>
  <c r="H626" i="1"/>
  <c r="H238" i="1"/>
  <c r="H17" i="1"/>
  <c r="H486" i="1"/>
  <c r="H575" i="1"/>
  <c r="F294" i="1"/>
  <c r="F293" i="1" s="1"/>
  <c r="F292" i="1" s="1"/>
  <c r="F291" i="1" s="1"/>
  <c r="F290" i="1" s="1"/>
  <c r="F316" i="1"/>
  <c r="F415" i="1"/>
  <c r="F414" i="1" s="1"/>
  <c r="F413" i="1" s="1"/>
  <c r="F464" i="1"/>
  <c r="F652" i="1"/>
  <c r="F651" i="1" s="1"/>
  <c r="F650" i="1" s="1"/>
  <c r="F649" i="1" s="1"/>
  <c r="F719" i="1"/>
  <c r="F718" i="1" s="1"/>
  <c r="F1773" i="1"/>
  <c r="H1454" i="1"/>
  <c r="H1083" i="1"/>
  <c r="H984" i="1"/>
  <c r="H977" i="1"/>
  <c r="H723" i="1"/>
  <c r="H658" i="1"/>
  <c r="H536" i="1"/>
  <c r="H350" i="1"/>
  <c r="H274" i="1"/>
  <c r="H973" i="1"/>
  <c r="H1084" i="1"/>
  <c r="F150" i="1"/>
  <c r="H151" i="1"/>
  <c r="F564" i="1"/>
  <c r="F563" i="1" s="1"/>
  <c r="F562" i="1" s="1"/>
  <c r="F561" i="1" s="1"/>
  <c r="H565" i="1"/>
  <c r="H1169" i="1"/>
  <c r="F1168" i="1"/>
  <c r="H1254" i="1"/>
  <c r="F1253" i="1"/>
  <c r="H1253" i="1" s="1"/>
  <c r="F1569" i="1"/>
  <c r="H1570" i="1"/>
  <c r="H1561" i="1"/>
  <c r="H1560" i="1"/>
  <c r="H1240" i="1"/>
  <c r="H1052" i="1"/>
  <c r="H990" i="1"/>
  <c r="H991" i="1"/>
  <c r="H819" i="1"/>
  <c r="H682" i="1"/>
  <c r="H683" i="1"/>
  <c r="H624" i="1"/>
  <c r="H529" i="1"/>
  <c r="H530" i="1"/>
  <c r="H477" i="1"/>
  <c r="H478" i="1"/>
  <c r="H431" i="1"/>
  <c r="H430" i="1"/>
  <c r="H405" i="1"/>
  <c r="H319" i="1"/>
  <c r="H320" i="1"/>
  <c r="H140" i="1"/>
  <c r="G139" i="1"/>
  <c r="H139" i="1" s="1"/>
  <c r="H256" i="1"/>
  <c r="F255" i="1"/>
  <c r="H255" i="1" s="1"/>
  <c r="F637" i="1"/>
  <c r="H637" i="1" s="1"/>
  <c r="H639" i="1"/>
  <c r="H1819" i="1"/>
  <c r="H1820" i="1"/>
  <c r="H1807" i="1"/>
  <c r="H1808" i="1"/>
  <c r="H1770" i="1"/>
  <c r="H1752" i="1"/>
  <c r="H1733" i="1"/>
  <c r="H1734" i="1"/>
  <c r="H1636" i="1"/>
  <c r="H1528" i="1"/>
  <c r="H1475" i="1"/>
  <c r="H1476" i="1"/>
  <c r="H1400" i="1"/>
  <c r="H1380" i="1"/>
  <c r="H1291" i="1"/>
  <c r="H1223" i="1"/>
  <c r="H1222" i="1"/>
  <c r="H812" i="1"/>
  <c r="H675" i="1"/>
  <c r="H589" i="1"/>
  <c r="H485" i="1"/>
  <c r="H393" i="1"/>
  <c r="H296" i="1"/>
  <c r="H295" i="1"/>
  <c r="G127" i="1"/>
  <c r="G126" i="1" s="1"/>
  <c r="G125" i="1" s="1"/>
  <c r="G124" i="1" s="1"/>
  <c r="G123" i="1" s="1"/>
  <c r="H128" i="1"/>
  <c r="G84" i="1"/>
  <c r="H84" i="1" s="1"/>
  <c r="H85" i="1"/>
  <c r="H44" i="1"/>
  <c r="G43" i="1"/>
  <c r="G42" i="1" s="1"/>
  <c r="F83" i="1"/>
  <c r="F82" i="1" s="1"/>
  <c r="F81" i="1" s="1"/>
  <c r="F80" i="1" s="1"/>
  <c r="H86" i="1"/>
  <c r="F153" i="1"/>
  <c r="F152" i="1" s="1"/>
  <c r="H154" i="1"/>
  <c r="F250" i="1"/>
  <c r="H250" i="1" s="1"/>
  <c r="H251" i="1"/>
  <c r="H261" i="1"/>
  <c r="F260" i="1"/>
  <c r="H260" i="1" s="1"/>
  <c r="H305" i="1"/>
  <c r="F304" i="1"/>
  <c r="F303" i="1" s="1"/>
  <c r="H681" i="1"/>
  <c r="F680" i="1"/>
  <c r="F679" i="1" s="1"/>
  <c r="F678" i="1" s="1"/>
  <c r="H1120" i="1"/>
  <c r="F1119" i="1"/>
  <c r="F1118" i="1" s="1"/>
  <c r="F1117" i="1" s="1"/>
  <c r="H1710" i="1"/>
  <c r="H1697" i="1"/>
  <c r="H1625" i="1"/>
  <c r="H1835" i="1"/>
  <c r="H1612" i="1"/>
  <c r="H1587" i="1"/>
  <c r="H1500" i="1"/>
  <c r="H1501" i="1"/>
  <c r="H1492" i="1"/>
  <c r="H1491" i="1"/>
  <c r="H1345" i="1"/>
  <c r="H1245" i="1"/>
  <c r="H1248" i="1"/>
  <c r="H1146" i="1"/>
  <c r="H1109" i="1"/>
  <c r="H1035" i="1"/>
  <c r="H1005" i="1"/>
  <c r="H1004" i="1"/>
  <c r="H946" i="1"/>
  <c r="H947" i="1"/>
  <c r="H867" i="1"/>
  <c r="H714" i="1"/>
  <c r="H715" i="1"/>
  <c r="H578" i="1"/>
  <c r="H494" i="1"/>
  <c r="H449" i="1"/>
  <c r="H450" i="1"/>
  <c r="H439" i="1"/>
  <c r="H440" i="1"/>
  <c r="H371" i="1"/>
  <c r="H273" i="1"/>
  <c r="H210" i="1"/>
  <c r="H211" i="1"/>
  <c r="H190" i="1"/>
  <c r="H191" i="1"/>
  <c r="H356" i="1"/>
  <c r="H94" i="1"/>
  <c r="F1843" i="1"/>
  <c r="F1785" i="1" s="1"/>
  <c r="H1072" i="1"/>
  <c r="H983" i="1"/>
  <c r="H71" i="1"/>
  <c r="F48" i="1"/>
  <c r="F47" i="1" s="1"/>
  <c r="F97" i="1"/>
  <c r="F96" i="1" s="1"/>
  <c r="F89" i="1" s="1"/>
  <c r="F213" i="1"/>
  <c r="F442" i="1"/>
  <c r="F576" i="1"/>
  <c r="F621" i="1"/>
  <c r="F620" i="1" s="1"/>
  <c r="F754" i="1"/>
  <c r="F753" i="1" s="1"/>
  <c r="F752" i="1" s="1"/>
  <c r="F751" i="1" s="1"/>
  <c r="H1356" i="1"/>
  <c r="H1193" i="1"/>
  <c r="H1185" i="1"/>
  <c r="H1095" i="1"/>
  <c r="H1079" i="1"/>
  <c r="H1024" i="1"/>
  <c r="H1014" i="1"/>
  <c r="H567" i="1"/>
  <c r="H426" i="1"/>
  <c r="H418" i="1"/>
  <c r="H317" i="1"/>
  <c r="H177" i="1"/>
  <c r="H318" i="1"/>
  <c r="H582" i="1"/>
  <c r="H1113" i="1"/>
  <c r="F1360" i="1"/>
  <c r="H1361" i="1"/>
  <c r="H1789" i="1"/>
  <c r="H1757" i="1"/>
  <c r="H1715" i="1"/>
  <c r="H1657" i="1"/>
  <c r="H1658" i="1"/>
  <c r="H1580" i="1"/>
  <c r="H1565" i="1"/>
  <c r="H1519" i="1"/>
  <c r="H1478" i="1"/>
  <c r="H1479" i="1"/>
  <c r="H1027" i="1"/>
  <c r="H899" i="1"/>
  <c r="H888" i="1"/>
  <c r="H813" i="1"/>
  <c r="H814" i="1"/>
  <c r="H524" i="1"/>
  <c r="H361" i="1"/>
  <c r="H313" i="1"/>
  <c r="H253" i="1"/>
  <c r="H252" i="1"/>
  <c r="H169" i="1"/>
  <c r="F36" i="1"/>
  <c r="H36" i="1" s="1"/>
  <c r="H37" i="1"/>
  <c r="F307" i="1"/>
  <c r="H308" i="1"/>
  <c r="F376" i="1"/>
  <c r="F375" i="1" s="1"/>
  <c r="H377" i="1"/>
  <c r="F735" i="1"/>
  <c r="F734" i="1" s="1"/>
  <c r="H734" i="1" s="1"/>
  <c r="H736" i="1"/>
  <c r="F1310" i="1"/>
  <c r="H1310" i="1" s="1"/>
  <c r="H1311" i="1"/>
  <c r="F1349" i="1"/>
  <c r="H1349" i="1" s="1"/>
  <c r="H1350" i="1"/>
  <c r="F1390" i="1"/>
  <c r="F1389" i="1" s="1"/>
  <c r="F1388" i="1" s="1"/>
  <c r="H1391" i="1"/>
  <c r="F1684" i="1"/>
  <c r="F1683" i="1" s="1"/>
  <c r="F1682" i="1" s="1"/>
  <c r="F1681" i="1" s="1"/>
  <c r="F1680" i="1" s="1"/>
  <c r="H1685" i="1"/>
  <c r="H1847" i="1"/>
  <c r="H1848" i="1"/>
  <c r="H1816" i="1"/>
  <c r="H1817" i="1"/>
  <c r="H1804" i="1"/>
  <c r="H1805" i="1"/>
  <c r="H1782" i="1"/>
  <c r="H1765" i="1"/>
  <c r="H1666" i="1"/>
  <c r="H1609" i="1"/>
  <c r="H1497" i="1"/>
  <c r="H1498" i="1"/>
  <c r="H1473" i="1"/>
  <c r="H1368" i="1"/>
  <c r="H1369" i="1"/>
  <c r="H1321" i="1"/>
  <c r="H1322" i="1"/>
  <c r="H1274" i="1"/>
  <c r="H1275" i="1"/>
  <c r="H1190" i="1"/>
  <c r="H1191" i="1"/>
  <c r="H1065" i="1"/>
  <c r="H1066" i="1"/>
  <c r="H1059" i="1"/>
  <c r="H1041" i="1"/>
  <c r="H1042" i="1"/>
  <c r="H988" i="1"/>
  <c r="H933" i="1"/>
  <c r="H935" i="1"/>
  <c r="H915" i="1"/>
  <c r="H916" i="1"/>
  <c r="H862" i="1"/>
  <c r="H807" i="1"/>
  <c r="H732" i="1"/>
  <c r="H696" i="1"/>
  <c r="H697" i="1"/>
  <c r="H680" i="1"/>
  <c r="H542" i="1"/>
  <c r="H517" i="1"/>
  <c r="H469" i="1"/>
  <c r="H421" i="1"/>
  <c r="H221" i="1"/>
  <c r="H218" i="1"/>
  <c r="G76" i="1"/>
  <c r="H77" i="1"/>
  <c r="F193" i="1"/>
  <c r="F189" i="1" s="1"/>
  <c r="F188" i="1" s="1"/>
  <c r="F187" i="1" s="1"/>
  <c r="F709" i="1"/>
  <c r="F699" i="1" s="1"/>
  <c r="F1315" i="1"/>
  <c r="F1337" i="1"/>
  <c r="F1559" i="1"/>
  <c r="H1841" i="1"/>
  <c r="H1810" i="1"/>
  <c r="H1740" i="1"/>
  <c r="H1416" i="1"/>
  <c r="H1303" i="1"/>
  <c r="H1259" i="1"/>
  <c r="H1186" i="1"/>
  <c r="H1174" i="1"/>
  <c r="H1126" i="1"/>
  <c r="H1080" i="1"/>
  <c r="H1063" i="1"/>
  <c r="H970" i="1"/>
  <c r="H760" i="1"/>
  <c r="H716" i="1"/>
  <c r="H568" i="1"/>
  <c r="H537" i="1"/>
  <c r="H49" i="1"/>
  <c r="H87" i="1"/>
  <c r="H95" i="1"/>
  <c r="H134" i="1"/>
  <c r="H175" i="1"/>
  <c r="H195" i="1"/>
  <c r="H234" i="1"/>
  <c r="H239" i="1"/>
  <c r="H323" i="1"/>
  <c r="H399" i="1"/>
  <c r="H474" i="1"/>
  <c r="H479" i="1"/>
  <c r="H581" i="1"/>
  <c r="H659" i="1"/>
  <c r="H924" i="1"/>
  <c r="H1009" i="1"/>
  <c r="H1017" i="1"/>
  <c r="H1073" i="1"/>
  <c r="H1225" i="1"/>
  <c r="H1268" i="1"/>
  <c r="H1798" i="1"/>
  <c r="F62" i="1"/>
  <c r="F61" i="1" s="1"/>
  <c r="F60" i="1" s="1"/>
  <c r="F59" i="1" s="1"/>
  <c r="F243" i="1"/>
  <c r="F248" i="1"/>
  <c r="F268" i="1"/>
  <c r="F519" i="1"/>
  <c r="F572" i="1"/>
  <c r="F584" i="1"/>
  <c r="F583" i="1" s="1"/>
  <c r="F635" i="1"/>
  <c r="H635" i="1" s="1"/>
  <c r="F805" i="1"/>
  <c r="F804" i="1" s="1"/>
  <c r="F800" i="1" s="1"/>
  <c r="F773" i="1" s="1"/>
  <c r="F772" i="1" s="1"/>
  <c r="F936" i="1"/>
  <c r="F920" i="1" s="1"/>
  <c r="F919" i="1" s="1"/>
  <c r="F918" i="1" s="1"/>
  <c r="F975" i="1"/>
  <c r="H975" i="1" s="1"/>
  <c r="F1058" i="1"/>
  <c r="F1107" i="1"/>
  <c r="F1205" i="1"/>
  <c r="F1204" i="1" s="1"/>
  <c r="F1203" i="1" s="1"/>
  <c r="F1255" i="1"/>
  <c r="F1280" i="1"/>
  <c r="F1579" i="1"/>
  <c r="F1575" i="1" s="1"/>
  <c r="F1574" i="1" s="1"/>
  <c r="F1573" i="1" s="1"/>
  <c r="F1591" i="1"/>
  <c r="F1728" i="1"/>
  <c r="F1727" i="1" s="1"/>
  <c r="F1726" i="1" s="1"/>
  <c r="F1725" i="1" s="1"/>
  <c r="F1724" i="1" s="1"/>
  <c r="F1749" i="1"/>
  <c r="F1763" i="1"/>
  <c r="F1762" i="1" s="1"/>
  <c r="F1761" i="1" s="1"/>
  <c r="F1760" i="1" s="1"/>
  <c r="F1759" i="1" s="1"/>
  <c r="F1823" i="1"/>
  <c r="H1823" i="1" s="1"/>
  <c r="H1750" i="1"/>
  <c r="H1695" i="1"/>
  <c r="H1645" i="1"/>
  <c r="H1594" i="1"/>
  <c r="H1569" i="1"/>
  <c r="H1552" i="1"/>
  <c r="H1542" i="1"/>
  <c r="H1429" i="1"/>
  <c r="H1398" i="1"/>
  <c r="H1386" i="1"/>
  <c r="H1334" i="1"/>
  <c r="H1301" i="1"/>
  <c r="H1255" i="1"/>
  <c r="H1228" i="1"/>
  <c r="H1183" i="1"/>
  <c r="H1177" i="1"/>
  <c r="H1165" i="1"/>
  <c r="H1154" i="1"/>
  <c r="H1022" i="1"/>
  <c r="H981" i="1"/>
  <c r="H966" i="1"/>
  <c r="H943" i="1"/>
  <c r="H871" i="1"/>
  <c r="H834" i="1"/>
  <c r="H795" i="1"/>
  <c r="H741" i="1"/>
  <c r="H712" i="1"/>
  <c r="H704" i="1"/>
  <c r="H672" i="1"/>
  <c r="H647" i="1"/>
  <c r="H633" i="1"/>
  <c r="H622" i="1"/>
  <c r="H574" i="1"/>
  <c r="H552" i="1"/>
  <c r="H501" i="1"/>
  <c r="H444" i="1"/>
  <c r="H437" i="1"/>
  <c r="H268" i="1"/>
  <c r="H257" i="1"/>
  <c r="H241" i="1"/>
  <c r="H196" i="1"/>
  <c r="H185" i="1"/>
  <c r="G161" i="1"/>
  <c r="H65" i="1"/>
  <c r="H13" i="1"/>
  <c r="H130" i="1"/>
  <c r="H150" i="1"/>
  <c r="H326" i="1"/>
  <c r="H383" i="1"/>
  <c r="H447" i="1"/>
  <c r="H857" i="1"/>
  <c r="H900" i="1"/>
  <c r="H1077" i="1"/>
  <c r="H1096" i="1"/>
  <c r="H1412" i="1"/>
  <c r="H1678" i="1"/>
  <c r="H1691" i="1"/>
  <c r="H1811" i="1"/>
  <c r="H1854" i="1"/>
  <c r="F148" i="1"/>
  <c r="F147" i="1" s="1"/>
  <c r="H149" i="1"/>
  <c r="F339" i="1"/>
  <c r="H340" i="1"/>
  <c r="F1012" i="1"/>
  <c r="H1013" i="1"/>
  <c r="F1691" i="1"/>
  <c r="H1692" i="1"/>
  <c r="H1777" i="1"/>
  <c r="H1699" i="1"/>
  <c r="H1700" i="1"/>
  <c r="H1649" i="1"/>
  <c r="H1624" i="1"/>
  <c r="H1629" i="1"/>
  <c r="H1532" i="1"/>
  <c r="H1456" i="1"/>
  <c r="H1457" i="1"/>
  <c r="H1420" i="1"/>
  <c r="H1421" i="1"/>
  <c r="H1404" i="1"/>
  <c r="H1339" i="1"/>
  <c r="H1331" i="1"/>
  <c r="H1316" i="1"/>
  <c r="H1298" i="1"/>
  <c r="H1267" i="1"/>
  <c r="H1249" i="1"/>
  <c r="H1250" i="1"/>
  <c r="H1119" i="1"/>
  <c r="H1111" i="1"/>
  <c r="H1112" i="1"/>
  <c r="H1105" i="1"/>
  <c r="H1088" i="1"/>
  <c r="H949" i="1"/>
  <c r="H950" i="1"/>
  <c r="H909" i="1"/>
  <c r="H793" i="1"/>
  <c r="H794" i="1"/>
  <c r="H769" i="1"/>
  <c r="H559" i="1"/>
  <c r="H548" i="1"/>
  <c r="H509" i="1"/>
  <c r="H425" i="1"/>
  <c r="H397" i="1"/>
  <c r="H349" i="1"/>
  <c r="H264" i="1"/>
  <c r="H198" i="1"/>
  <c r="H201" i="1"/>
  <c r="H29" i="1"/>
  <c r="G28" i="1"/>
  <c r="H28" i="1" s="1"/>
  <c r="F341" i="1"/>
  <c r="H341" i="1" s="1"/>
  <c r="H345" i="1"/>
  <c r="F1171" i="1"/>
  <c r="F1170" i="1" s="1"/>
  <c r="H1172" i="1"/>
  <c r="F1233" i="1"/>
  <c r="F1232" i="1" s="1"/>
  <c r="F1231" i="1" s="1"/>
  <c r="F1230" i="1" s="1"/>
  <c r="H1234" i="1"/>
  <c r="F1313" i="1"/>
  <c r="H1313" i="1" s="1"/>
  <c r="H1314" i="1"/>
  <c r="F1327" i="1"/>
  <c r="F1326" i="1" s="1"/>
  <c r="F1325" i="1" s="1"/>
  <c r="H1329" i="1"/>
  <c r="F1689" i="1"/>
  <c r="F1688" i="1" s="1"/>
  <c r="F1687" i="1" s="1"/>
  <c r="F1686" i="1" s="1"/>
  <c r="H1690" i="1"/>
  <c r="H1856" i="1"/>
  <c r="H1857" i="1"/>
  <c r="H1844" i="1"/>
  <c r="H1845" i="1"/>
  <c r="H1813" i="1"/>
  <c r="H1814" i="1"/>
  <c r="H1794" i="1"/>
  <c r="H1739" i="1"/>
  <c r="H1742" i="1"/>
  <c r="H1677" i="1"/>
  <c r="H1652" i="1"/>
  <c r="H1865" i="1" s="1"/>
  <c r="H1641" i="1"/>
  <c r="H1591" i="1"/>
  <c r="H1592" i="1"/>
  <c r="H1534" i="1"/>
  <c r="H1535" i="1"/>
  <c r="H1509" i="1"/>
  <c r="H1308" i="1"/>
  <c r="H1299" i="1"/>
  <c r="H1300" i="1"/>
  <c r="H1284" i="1"/>
  <c r="H1272" i="1"/>
  <c r="H1163" i="1"/>
  <c r="H1135" i="1"/>
  <c r="H1019" i="1"/>
  <c r="H1020" i="1"/>
  <c r="H1010" i="1"/>
  <c r="H1011" i="1"/>
  <c r="H999" i="1"/>
  <c r="H953" i="1"/>
  <c r="H954" i="1"/>
  <c r="H882" i="1"/>
  <c r="H827" i="1"/>
  <c r="H617" i="1"/>
  <c r="H595" i="1"/>
  <c r="H456" i="1"/>
  <c r="H364" i="1"/>
  <c r="H365" i="1"/>
  <c r="H303" i="1"/>
  <c r="H304" i="1"/>
  <c r="H229" i="1"/>
  <c r="G92" i="1"/>
  <c r="G91" i="1" s="1"/>
  <c r="G90" i="1" s="1"/>
  <c r="H93" i="1"/>
  <c r="F110" i="1"/>
  <c r="F109" i="1" s="1"/>
  <c r="F381" i="1"/>
  <c r="F1518" i="1"/>
  <c r="F1517" i="1" s="1"/>
  <c r="F1512" i="1" s="1"/>
  <c r="F1511" i="1" s="1"/>
  <c r="H1837" i="1"/>
  <c r="H1589" i="1"/>
  <c r="H1488" i="1"/>
  <c r="H1466" i="1"/>
  <c r="H1376" i="1"/>
  <c r="H1161" i="1"/>
  <c r="H1150" i="1"/>
  <c r="H978" i="1"/>
  <c r="H962" i="1"/>
  <c r="H856" i="1"/>
  <c r="H755" i="1"/>
  <c r="H580" i="1"/>
  <c r="H473" i="1"/>
  <c r="H441" i="1"/>
  <c r="H297" i="1"/>
  <c r="H113" i="1"/>
  <c r="H72" i="1"/>
  <c r="F20" i="1"/>
  <c r="F19" i="1" s="1"/>
  <c r="F16" i="1" s="1"/>
  <c r="F15" i="1" s="1"/>
  <c r="F100" i="1"/>
  <c r="H100" i="1" s="1"/>
  <c r="F104" i="1"/>
  <c r="F103" i="1" s="1"/>
  <c r="F126" i="1"/>
  <c r="F125" i="1" s="1"/>
  <c r="F124" i="1" s="1"/>
  <c r="F123" i="1" s="1"/>
  <c r="F311" i="1"/>
  <c r="F356" i="1"/>
  <c r="F881" i="1"/>
  <c r="F880" i="1" s="1"/>
  <c r="F879" i="1" s="1"/>
  <c r="F878" i="1" s="1"/>
  <c r="F877" i="1" s="1"/>
  <c r="F876" i="1" s="1"/>
  <c r="F1051" i="1"/>
  <c r="F1157" i="1"/>
  <c r="H1157" i="1" s="1"/>
  <c r="F1180" i="1"/>
  <c r="F1179" i="1" s="1"/>
  <c r="H1179" i="1" s="1"/>
  <c r="F1366" i="1"/>
  <c r="F1365" i="1" s="1"/>
  <c r="H1365" i="1" s="1"/>
  <c r="F1545" i="1"/>
  <c r="F1544" i="1" s="1"/>
  <c r="F1541" i="1"/>
  <c r="F1540" i="1" s="1"/>
  <c r="F1539" i="1" s="1"/>
  <c r="F1538" i="1" s="1"/>
  <c r="F1601" i="1"/>
  <c r="F1600" i="1" s="1"/>
  <c r="F1599" i="1" s="1"/>
  <c r="F1598" i="1" s="1"/>
  <c r="H1838" i="1"/>
  <c r="H1830" i="1"/>
  <c r="H1824" i="1"/>
  <c r="H1802" i="1"/>
  <c r="H1763" i="1"/>
  <c r="H1731" i="1"/>
  <c r="H1688" i="1"/>
  <c r="H1604" i="1"/>
  <c r="H1582" i="1"/>
  <c r="H1567" i="1"/>
  <c r="H1557" i="1"/>
  <c r="H1521" i="1"/>
  <c r="H1489" i="1"/>
  <c r="H1481" i="1"/>
  <c r="H1467" i="1"/>
  <c r="H1427" i="1"/>
  <c r="H1397" i="1"/>
  <c r="H1377" i="1"/>
  <c r="H1351" i="1"/>
  <c r="H1318" i="1"/>
  <c r="H1262" i="1"/>
  <c r="H1243" i="1"/>
  <c r="H1226" i="1"/>
  <c r="H1210" i="1"/>
  <c r="H1199" i="1"/>
  <c r="H1182" i="1"/>
  <c r="H1170" i="1"/>
  <c r="H1127" i="1"/>
  <c r="H1081" i="1"/>
  <c r="H1064" i="1"/>
  <c r="H1047" i="1"/>
  <c r="H1039" i="1"/>
  <c r="H980" i="1"/>
  <c r="H964" i="1"/>
  <c r="H941" i="1"/>
  <c r="H931" i="1"/>
  <c r="H910" i="1"/>
  <c r="H902" i="1"/>
  <c r="H870" i="1"/>
  <c r="H796" i="1"/>
  <c r="H770" i="1"/>
  <c r="H761" i="1"/>
  <c r="H756" i="1"/>
  <c r="H746" i="1"/>
  <c r="H710" i="1"/>
  <c r="H703" i="1"/>
  <c r="H686" i="1"/>
  <c r="H670" i="1"/>
  <c r="H572" i="1"/>
  <c r="H527" i="1"/>
  <c r="H445" i="1"/>
  <c r="H325" i="1"/>
  <c r="H265" i="1"/>
  <c r="H248" i="1"/>
  <c r="H216" i="1"/>
  <c r="H181" i="1"/>
  <c r="H133" i="1"/>
  <c r="H73" i="1"/>
  <c r="H64" i="1"/>
  <c r="G12" i="1"/>
  <c r="H23" i="1"/>
  <c r="H78" i="1"/>
  <c r="H194" i="1"/>
  <c r="H298" i="1"/>
  <c r="H322" i="1"/>
  <c r="H398" i="1"/>
  <c r="H434" i="1"/>
  <c r="H510" i="1"/>
  <c r="H797" i="1"/>
  <c r="H901" i="1"/>
  <c r="H1049" i="1"/>
  <c r="H1200" i="1"/>
  <c r="H1276" i="1"/>
  <c r="H1340" i="1"/>
  <c r="H1413" i="1"/>
  <c r="H1619" i="1"/>
  <c r="H235" i="1"/>
  <c r="H52" i="1"/>
  <c r="H56" i="1"/>
  <c r="H108" i="1"/>
  <c r="H112" i="1"/>
  <c r="H204" i="1"/>
  <c r="H208" i="1"/>
  <c r="H236" i="1"/>
  <c r="H230" i="1"/>
  <c r="G184" i="1"/>
  <c r="H184" i="1" s="1"/>
  <c r="G132" i="1"/>
  <c r="G118" i="1"/>
  <c r="H121" i="1"/>
  <c r="H233" i="1"/>
  <c r="H285" i="1"/>
  <c r="H1834" i="1"/>
  <c r="G1865" i="1"/>
  <c r="G62" i="1"/>
  <c r="G35" i="1"/>
  <c r="G70" i="1"/>
  <c r="H847" i="1"/>
  <c r="H838" i="1"/>
  <c r="H837" i="1" s="1"/>
  <c r="H432" i="1"/>
  <c r="G138" i="1"/>
  <c r="G19" i="1"/>
  <c r="F435" i="1"/>
  <c r="F428" i="1" s="1"/>
  <c r="F1597" i="1"/>
  <c r="F321" i="1"/>
  <c r="F809" i="1"/>
  <c r="F1034" i="1"/>
  <c r="F1098" i="1"/>
  <c r="F821" i="1"/>
  <c r="F897" i="1"/>
  <c r="F896" i="1" s="1"/>
  <c r="F1283" i="1"/>
  <c r="F1282" i="1" s="1"/>
  <c r="F1829" i="1"/>
  <c r="H1829" i="1" s="1"/>
  <c r="F1618" i="1"/>
  <c r="F730" i="1"/>
  <c r="F729" i="1" s="1"/>
  <c r="F728" i="1" s="1"/>
  <c r="F727" i="1" s="1"/>
  <c r="F865" i="1"/>
  <c r="F864" i="1" s="1"/>
  <c r="F855" i="1" s="1"/>
  <c r="F1372" i="1"/>
  <c r="F914" i="1"/>
  <c r="H914" i="1" s="1"/>
  <c r="F961" i="1"/>
  <c r="F960" i="1" s="1"/>
  <c r="F1196" i="1"/>
  <c r="F1195" i="1" s="1"/>
  <c r="F360" i="1"/>
  <c r="F359" i="1" s="1"/>
  <c r="F353" i="1"/>
  <c r="F352" i="1" s="1"/>
  <c r="F346" i="1" s="1"/>
  <c r="F540" i="1"/>
  <c r="F482" i="1" s="1"/>
  <c r="F1026" i="1"/>
  <c r="F1046" i="1"/>
  <c r="H1046" i="1" s="1"/>
  <c r="F1091" i="1"/>
  <c r="F1086" i="1" s="1"/>
  <c r="F1131" i="1"/>
  <c r="F1130" i="1" s="1"/>
  <c r="F1296" i="1"/>
  <c r="F1295" i="1" s="1"/>
  <c r="F1294" i="1" s="1"/>
  <c r="F1293" i="1" s="1"/>
  <c r="F1484" i="1"/>
  <c r="F1426" i="1"/>
  <c r="F1425" i="1" s="1"/>
  <c r="F1424" i="1" s="1"/>
  <c r="F1423" i="1" s="1"/>
  <c r="F1822" i="1"/>
  <c r="F1611" i="1"/>
  <c r="F1411" i="1"/>
  <c r="F1410" i="1" s="1"/>
  <c r="F1409" i="1" s="1"/>
  <c r="F1408" i="1" s="1"/>
  <c r="F1471" i="1"/>
  <c r="F1470" i="1" s="1"/>
  <c r="F1586" i="1"/>
  <c r="F1585" i="1" s="1"/>
  <c r="F1584" i="1" s="1"/>
  <c r="F1623" i="1"/>
  <c r="F1772" i="1" l="1"/>
  <c r="G753" i="1"/>
  <c r="G752" i="1" s="1"/>
  <c r="G751" i="1" s="1"/>
  <c r="G726" i="1" s="1"/>
  <c r="H1237" i="1"/>
  <c r="G1236" i="1"/>
  <c r="G1235" i="1" s="1"/>
  <c r="G1537" i="1"/>
  <c r="G48" i="1"/>
  <c r="G47" i="1" s="1"/>
  <c r="F1644" i="1"/>
  <c r="F1643" i="1" s="1"/>
  <c r="H1618" i="1"/>
  <c r="F389" i="1"/>
  <c r="H157" i="1"/>
  <c r="H376" i="1"/>
  <c r="H1705" i="1"/>
  <c r="H20" i="1"/>
  <c r="H1384" i="1"/>
  <c r="H706" i="1"/>
  <c r="H1694" i="1"/>
  <c r="H97" i="1"/>
  <c r="H1188" i="1"/>
  <c r="F1738" i="1"/>
  <c r="F1737" i="1" s="1"/>
  <c r="F1736" i="1" s="1"/>
  <c r="F1735" i="1" s="1"/>
  <c r="H1091" i="1"/>
  <c r="H153" i="1"/>
  <c r="G555" i="1"/>
  <c r="G1572" i="1"/>
  <c r="H1315" i="1"/>
  <c r="G1372" i="1"/>
  <c r="H1218" i="1"/>
  <c r="G1217" i="1"/>
  <c r="G482" i="1"/>
  <c r="G1449" i="1"/>
  <c r="G1407" i="1"/>
  <c r="G1371" i="1" s="1"/>
  <c r="G1304" i="1"/>
  <c r="G1286" i="1" s="1"/>
  <c r="H1070" i="1"/>
  <c r="H1069" i="1"/>
  <c r="G1034" i="1"/>
  <c r="H1034" i="1" s="1"/>
  <c r="H968" i="1"/>
  <c r="G936" i="1"/>
  <c r="H936" i="1" s="1"/>
  <c r="H937" i="1"/>
  <c r="G772" i="1"/>
  <c r="F726" i="1"/>
  <c r="H690" i="1"/>
  <c r="G651" i="1"/>
  <c r="G650" i="1" s="1"/>
  <c r="G649" i="1" s="1"/>
  <c r="G519" i="1"/>
  <c r="H520" i="1"/>
  <c r="H321" i="1"/>
  <c r="H222" i="1"/>
  <c r="G328" i="1"/>
  <c r="H328" i="1" s="1"/>
  <c r="H329" i="1"/>
  <c r="H599" i="1"/>
  <c r="H602" i="1"/>
  <c r="G1523" i="1"/>
  <c r="G1828" i="1"/>
  <c r="G1617" i="1"/>
  <c r="G1616" i="1" s="1"/>
  <c r="G1615" i="1" s="1"/>
  <c r="G1596" i="1" s="1"/>
  <c r="G1833" i="1"/>
  <c r="G1622" i="1"/>
  <c r="H601" i="1"/>
  <c r="H600" i="1"/>
  <c r="H776" i="1"/>
  <c r="G442" i="1"/>
  <c r="G389" i="1" s="1"/>
  <c r="H105" i="1"/>
  <c r="G83" i="1"/>
  <c r="H83" i="1" s="1"/>
  <c r="H48" i="1"/>
  <c r="F10" i="1"/>
  <c r="F9" i="1" s="1"/>
  <c r="H1261" i="1"/>
  <c r="F146" i="1"/>
  <c r="H147" i="1"/>
  <c r="F641" i="1"/>
  <c r="F640" i="1" s="1"/>
  <c r="G137" i="1"/>
  <c r="H138" i="1"/>
  <c r="H754" i="1"/>
  <c r="G34" i="1"/>
  <c r="H1484" i="1"/>
  <c r="H1410" i="1"/>
  <c r="H174" i="1"/>
  <c r="G11" i="1"/>
  <c r="H11" i="1" s="1"/>
  <c r="H12" i="1"/>
  <c r="H616" i="1"/>
  <c r="H996" i="1"/>
  <c r="H1160" i="1"/>
  <c r="H1842" i="1"/>
  <c r="H1638" i="1"/>
  <c r="H1676" i="1"/>
  <c r="H347" i="1"/>
  <c r="H348" i="1"/>
  <c r="H544" i="1"/>
  <c r="H545" i="1"/>
  <c r="H908" i="1"/>
  <c r="H1086" i="1"/>
  <c r="H1087" i="1"/>
  <c r="H1338" i="1"/>
  <c r="H1531" i="1"/>
  <c r="H1012" i="1"/>
  <c r="F1007" i="1"/>
  <c r="F1003" i="1" s="1"/>
  <c r="F1002" i="1" s="1"/>
  <c r="F1001" i="1" s="1"/>
  <c r="F1277" i="1"/>
  <c r="H1280" i="1"/>
  <c r="H168" i="1"/>
  <c r="F1167" i="1"/>
  <c r="H1168" i="1"/>
  <c r="H468" i="1"/>
  <c r="H541" i="1"/>
  <c r="H800" i="1"/>
  <c r="H804" i="1"/>
  <c r="H987" i="1"/>
  <c r="H986" i="1"/>
  <c r="H1472" i="1"/>
  <c r="H1762" i="1"/>
  <c r="F374" i="1"/>
  <c r="F373" i="1" s="1"/>
  <c r="F358" i="1" s="1"/>
  <c r="H375" i="1"/>
  <c r="H359" i="1"/>
  <c r="H360" i="1"/>
  <c r="H898" i="1"/>
  <c r="H1564" i="1"/>
  <c r="H1756" i="1"/>
  <c r="F1359" i="1"/>
  <c r="H1360" i="1"/>
  <c r="H577" i="1"/>
  <c r="H866" i="1"/>
  <c r="H1108" i="1"/>
  <c r="H1107" i="1"/>
  <c r="H127" i="1"/>
  <c r="H392" i="1"/>
  <c r="H1379" i="1"/>
  <c r="H404" i="1"/>
  <c r="H620" i="1"/>
  <c r="H621" i="1"/>
  <c r="H563" i="1"/>
  <c r="H748" i="1"/>
  <c r="H829" i="1"/>
  <c r="H1861" i="1"/>
  <c r="H503" i="1"/>
  <c r="H504" i="1"/>
  <c r="H892" i="1"/>
  <c r="H891" i="1"/>
  <c r="H1388" i="1"/>
  <c r="H1389" i="1"/>
  <c r="H1546" i="1"/>
  <c r="H337" i="1"/>
  <c r="H1576" i="1"/>
  <c r="H961" i="1"/>
  <c r="H652" i="1"/>
  <c r="G69" i="1"/>
  <c r="H70" i="1"/>
  <c r="H245" i="1"/>
  <c r="H1601" i="1"/>
  <c r="H1453" i="1"/>
  <c r="G117" i="1"/>
  <c r="H118" i="1"/>
  <c r="H353" i="1"/>
  <c r="H110" i="1"/>
  <c r="H435" i="1"/>
  <c r="H436" i="1"/>
  <c r="H534" i="1"/>
  <c r="H740" i="1"/>
  <c r="F310" i="1"/>
  <c r="F309" i="1" s="1"/>
  <c r="H309" i="1" s="1"/>
  <c r="H311" i="1"/>
  <c r="H594" i="1"/>
  <c r="H826" i="1"/>
  <c r="H1134" i="1"/>
  <c r="H1651" i="1"/>
  <c r="H1864" i="1" s="1"/>
  <c r="G1864" i="1"/>
  <c r="H1703" i="1"/>
  <c r="H1704" i="1"/>
  <c r="H1793" i="1"/>
  <c r="H262" i="1"/>
  <c r="H263" i="1"/>
  <c r="H395" i="1"/>
  <c r="H396" i="1"/>
  <c r="H507" i="1"/>
  <c r="H508" i="1"/>
  <c r="H558" i="1"/>
  <c r="H1103" i="1"/>
  <c r="H1104" i="1"/>
  <c r="H1117" i="1"/>
  <c r="H1118" i="1"/>
  <c r="H1297" i="1"/>
  <c r="H1330" i="1"/>
  <c r="H1402" i="1"/>
  <c r="H1403" i="1"/>
  <c r="F336" i="1"/>
  <c r="F335" i="1" s="1"/>
  <c r="H339" i="1"/>
  <c r="F240" i="1"/>
  <c r="F226" i="1" s="1"/>
  <c r="H243" i="1"/>
  <c r="H370" i="1"/>
  <c r="H1586" i="1"/>
  <c r="H588" i="1"/>
  <c r="H1635" i="1"/>
  <c r="H818" i="1"/>
  <c r="F1214" i="1"/>
  <c r="H429" i="1"/>
  <c r="H1058" i="1"/>
  <c r="H1749" i="1"/>
  <c r="H1051" i="1"/>
  <c r="F35" i="1"/>
  <c r="F34" i="1" s="1"/>
  <c r="F33" i="1" s="1"/>
  <c r="F32" i="1" s="1"/>
  <c r="H316" i="1"/>
  <c r="H709" i="1"/>
  <c r="H1822" i="1"/>
  <c r="H1623" i="1"/>
  <c r="H1068" i="1"/>
  <c r="H193" i="1"/>
  <c r="H148" i="1"/>
  <c r="H332" i="1"/>
  <c r="H1366" i="1"/>
  <c r="F1537" i="1"/>
  <c r="F102" i="1"/>
  <c r="F88" i="1" s="1"/>
  <c r="F46" i="1" s="1"/>
  <c r="H1171" i="1"/>
  <c r="F571" i="1"/>
  <c r="F570" i="1" s="1"/>
  <c r="F555" i="1" s="1"/>
  <c r="F463" i="1" s="1"/>
  <c r="H1689" i="1"/>
  <c r="H805" i="1"/>
  <c r="F630" i="1"/>
  <c r="F629" i="1" s="1"/>
  <c r="F628" i="1" s="1"/>
  <c r="F597" i="1" s="1"/>
  <c r="H735" i="1"/>
  <c r="F1252" i="1"/>
  <c r="H564" i="1"/>
  <c r="H1390" i="1"/>
  <c r="H442" i="1"/>
  <c r="H443" i="1"/>
  <c r="H1541" i="1"/>
  <c r="H1686" i="1"/>
  <c r="H1687" i="1"/>
  <c r="H279" i="1"/>
  <c r="H500" i="1"/>
  <c r="H1205" i="1"/>
  <c r="H92" i="1"/>
  <c r="H452" i="1"/>
  <c r="H453" i="1"/>
  <c r="H881" i="1"/>
  <c r="H1270" i="1"/>
  <c r="H1271" i="1"/>
  <c r="H1508" i="1"/>
  <c r="H424" i="1"/>
  <c r="H767" i="1"/>
  <c r="H768" i="1"/>
  <c r="H1648" i="1"/>
  <c r="H1776" i="1"/>
  <c r="H921" i="1"/>
  <c r="H272" i="1"/>
  <c r="H1144" i="1"/>
  <c r="H1145" i="1"/>
  <c r="H1344" i="1"/>
  <c r="H1683" i="1"/>
  <c r="H42" i="1"/>
  <c r="H43" i="1"/>
  <c r="H1290" i="1"/>
  <c r="H1526" i="1"/>
  <c r="H1527" i="1"/>
  <c r="H1239" i="1"/>
  <c r="H956" i="1"/>
  <c r="H957" i="1"/>
  <c r="H1720" i="1"/>
  <c r="H609" i="1"/>
  <c r="G16" i="1"/>
  <c r="H19" i="1"/>
  <c r="H1702" i="1"/>
  <c r="G131" i="1"/>
  <c r="H131" i="1" s="1"/>
  <c r="H132" i="1"/>
  <c r="H550" i="1"/>
  <c r="H551" i="1"/>
  <c r="H784" i="1"/>
  <c r="G160" i="1"/>
  <c r="H161" i="1"/>
  <c r="H1608" i="1"/>
  <c r="H718" i="1"/>
  <c r="H719" i="1"/>
  <c r="H213" i="1"/>
  <c r="G61" i="1"/>
  <c r="H62" i="1"/>
  <c r="H630" i="1"/>
  <c r="H1728" i="1"/>
  <c r="H1669" i="1"/>
  <c r="H1670" i="1"/>
  <c r="H1426" i="1"/>
  <c r="H103" i="1"/>
  <c r="H104" i="1"/>
  <c r="H284" i="1"/>
  <c r="H410" i="1"/>
  <c r="H644" i="1"/>
  <c r="H833" i="1"/>
  <c r="H926" i="1"/>
  <c r="H927" i="1"/>
  <c r="H971" i="1"/>
  <c r="H972" i="1"/>
  <c r="H227" i="1"/>
  <c r="H228" i="1"/>
  <c r="H1195" i="1"/>
  <c r="H1196" i="1"/>
  <c r="G75" i="1"/>
  <c r="H75" i="1" s="1"/>
  <c r="H76" i="1"/>
  <c r="H420" i="1"/>
  <c r="H516" i="1"/>
  <c r="H679" i="1"/>
  <c r="H678" i="1"/>
  <c r="H731" i="1"/>
  <c r="H861" i="1"/>
  <c r="H1665" i="1"/>
  <c r="H1781" i="1"/>
  <c r="F306" i="1"/>
  <c r="H307" i="1"/>
  <c r="H887" i="1"/>
  <c r="H886" i="1"/>
  <c r="H1382" i="1"/>
  <c r="H1383" i="1"/>
  <c r="H1517" i="1"/>
  <c r="H1518" i="1"/>
  <c r="H1714" i="1"/>
  <c r="H1788" i="1"/>
  <c r="H493" i="1"/>
  <c r="H775" i="1"/>
  <c r="H1708" i="1"/>
  <c r="H1709" i="1"/>
  <c r="H96" i="1"/>
  <c r="H483" i="1"/>
  <c r="H484" i="1"/>
  <c r="H674" i="1"/>
  <c r="H669" i="1"/>
  <c r="H811" i="1"/>
  <c r="H1396" i="1"/>
  <c r="H1769" i="1"/>
  <c r="H665" i="1"/>
  <c r="H666" i="1"/>
  <c r="H789" i="1"/>
  <c r="H1514" i="1"/>
  <c r="H1230" i="1"/>
  <c r="H1231" i="1"/>
  <c r="H1826" i="1"/>
  <c r="H381" i="1"/>
  <c r="H385" i="1"/>
  <c r="H1100" i="1"/>
  <c r="H1232" i="1"/>
  <c r="F1572" i="1"/>
  <c r="F913" i="1"/>
  <c r="H1843" i="1"/>
  <c r="H333" i="1"/>
  <c r="H1411" i="1"/>
  <c r="F1723" i="1"/>
  <c r="F245" i="1"/>
  <c r="F1668" i="1"/>
  <c r="H310" i="1"/>
  <c r="H1026" i="1"/>
  <c r="H1579" i="1"/>
  <c r="H1180" i="1"/>
  <c r="H1611" i="1"/>
  <c r="H1684" i="1"/>
  <c r="H1233" i="1"/>
  <c r="H1327" i="1"/>
  <c r="H1277" i="1"/>
  <c r="H152" i="1"/>
  <c r="F1307" i="1"/>
  <c r="F1306" i="1" s="1"/>
  <c r="F1305" i="1" s="1"/>
  <c r="F1304" i="1" s="1"/>
  <c r="F1286" i="1" s="1"/>
  <c r="H836" i="1"/>
  <c r="F1617" i="1"/>
  <c r="F1828" i="1"/>
  <c r="F1407" i="1"/>
  <c r="F1371" i="1" s="1"/>
  <c r="F1622" i="1"/>
  <c r="F1833" i="1"/>
  <c r="H1833" i="1" s="1"/>
  <c r="F1469" i="1"/>
  <c r="F1449" i="1" s="1"/>
  <c r="G641" i="1" l="1"/>
  <c r="G640" i="1" s="1"/>
  <c r="H1828" i="1"/>
  <c r="G463" i="1"/>
  <c r="G1216" i="1"/>
  <c r="H1217" i="1"/>
  <c r="G1448" i="1"/>
  <c r="G1003" i="1"/>
  <c r="G1002" i="1" s="1"/>
  <c r="G1001" i="1" s="1"/>
  <c r="G993" i="1" s="1"/>
  <c r="H1007" i="1"/>
  <c r="G920" i="1"/>
  <c r="G919" i="1" s="1"/>
  <c r="G918" i="1" s="1"/>
  <c r="G913" i="1" s="1"/>
  <c r="G301" i="1"/>
  <c r="G300" i="1" s="1"/>
  <c r="G1621" i="1"/>
  <c r="G1831" i="1" s="1"/>
  <c r="G1832" i="1"/>
  <c r="G82" i="1"/>
  <c r="H82" i="1" s="1"/>
  <c r="H47" i="1"/>
  <c r="F993" i="1"/>
  <c r="H1099" i="1"/>
  <c r="H1098" i="1"/>
  <c r="H1787" i="1"/>
  <c r="H1773" i="1"/>
  <c r="H1780" i="1"/>
  <c r="H189" i="1"/>
  <c r="H608" i="1"/>
  <c r="H1203" i="1"/>
  <c r="H1204" i="1"/>
  <c r="H278" i="1"/>
  <c r="H1540" i="1"/>
  <c r="H1375" i="1"/>
  <c r="H774" i="1"/>
  <c r="H860" i="1"/>
  <c r="H1343" i="1"/>
  <c r="H422" i="1"/>
  <c r="H423" i="1"/>
  <c r="H688" i="1"/>
  <c r="H689" i="1"/>
  <c r="H1634" i="1"/>
  <c r="H1584" i="1"/>
  <c r="H1585" i="1"/>
  <c r="H1296" i="1"/>
  <c r="H1306" i="1"/>
  <c r="H533" i="1"/>
  <c r="H109" i="1"/>
  <c r="G116" i="1"/>
  <c r="H117" i="1"/>
  <c r="H1600" i="1"/>
  <c r="G68" i="1"/>
  <c r="H69" i="1"/>
  <c r="H960" i="1"/>
  <c r="H335" i="1"/>
  <c r="H336" i="1"/>
  <c r="H828" i="1"/>
  <c r="H561" i="1"/>
  <c r="H562" i="1"/>
  <c r="H403" i="1"/>
  <c r="H390" i="1"/>
  <c r="H391" i="1"/>
  <c r="H576" i="1"/>
  <c r="H1754" i="1"/>
  <c r="H1755" i="1"/>
  <c r="H1471" i="1"/>
  <c r="F1159" i="1"/>
  <c r="F1149" i="1" s="1"/>
  <c r="F1148" i="1" s="1"/>
  <c r="H1167" i="1"/>
  <c r="H1530" i="1"/>
  <c r="H1674" i="1"/>
  <c r="H1675" i="1"/>
  <c r="G33" i="1"/>
  <c r="H34" i="1"/>
  <c r="G136" i="1"/>
  <c r="H136" i="1" s="1"/>
  <c r="H137" i="1"/>
  <c r="H1738" i="1"/>
  <c r="H788" i="1"/>
  <c r="H1767" i="1"/>
  <c r="H1768" i="1"/>
  <c r="H810" i="1"/>
  <c r="H1713" i="1"/>
  <c r="H306" i="1"/>
  <c r="F302" i="1"/>
  <c r="H1664" i="1"/>
  <c r="H515" i="1"/>
  <c r="H642" i="1"/>
  <c r="H643" i="1"/>
  <c r="H1425" i="1"/>
  <c r="H1727" i="1"/>
  <c r="G60" i="1"/>
  <c r="H61" i="1"/>
  <c r="G159" i="1"/>
  <c r="H160" i="1"/>
  <c r="G15" i="1"/>
  <c r="H16" i="1"/>
  <c r="H1718" i="1"/>
  <c r="H1719" i="1"/>
  <c r="H1235" i="1"/>
  <c r="H1236" i="1"/>
  <c r="H1289" i="1"/>
  <c r="H1682" i="1"/>
  <c r="H1643" i="1"/>
  <c r="H1644" i="1"/>
  <c r="H1507" i="1"/>
  <c r="H880" i="1"/>
  <c r="H499" i="1"/>
  <c r="H825" i="1"/>
  <c r="H467" i="1"/>
  <c r="H615" i="1"/>
  <c r="H172" i="1"/>
  <c r="H173" i="1"/>
  <c r="H1622" i="1"/>
  <c r="H240" i="1"/>
  <c r="H1307" i="1"/>
  <c r="H35" i="1"/>
  <c r="H699" i="1"/>
  <c r="H1825" i="1"/>
  <c r="H1513" i="1"/>
  <c r="H1394" i="1"/>
  <c r="H1395" i="1"/>
  <c r="H832" i="1"/>
  <c r="H831" i="1"/>
  <c r="H409" i="1"/>
  <c r="H628" i="1"/>
  <c r="H629" i="1"/>
  <c r="H1606" i="1"/>
  <c r="H1607" i="1"/>
  <c r="H783" i="1"/>
  <c r="H1693" i="1"/>
  <c r="H1774" i="1"/>
  <c r="H1775" i="1"/>
  <c r="H294" i="1"/>
  <c r="H557" i="1"/>
  <c r="H593" i="1"/>
  <c r="F145" i="1"/>
  <c r="H146" i="1"/>
  <c r="F1616" i="1"/>
  <c r="H1617" i="1"/>
  <c r="H1462" i="1"/>
  <c r="H419" i="1"/>
  <c r="H492" i="1"/>
  <c r="H730" i="1"/>
  <c r="H283" i="1"/>
  <c r="H91" i="1"/>
  <c r="H374" i="1"/>
  <c r="H816" i="1"/>
  <c r="H817" i="1"/>
  <c r="H587" i="1"/>
  <c r="H369" i="1"/>
  <c r="H1326" i="1"/>
  <c r="H1791" i="1"/>
  <c r="H1792" i="1"/>
  <c r="H1130" i="1"/>
  <c r="H1131" i="1"/>
  <c r="H739" i="1"/>
  <c r="H346" i="1"/>
  <c r="H352" i="1"/>
  <c r="H1452" i="1"/>
  <c r="H651" i="1"/>
  <c r="H1575" i="1"/>
  <c r="H1544" i="1"/>
  <c r="H1545" i="1"/>
  <c r="H1859" i="1"/>
  <c r="H1860" i="1"/>
  <c r="H744" i="1"/>
  <c r="H743" i="1"/>
  <c r="H126" i="1"/>
  <c r="H864" i="1"/>
  <c r="H865" i="1"/>
  <c r="F1358" i="1"/>
  <c r="F1348" i="1" s="1"/>
  <c r="H1359" i="1"/>
  <c r="H1563" i="1"/>
  <c r="H1559" i="1"/>
  <c r="H1761" i="1"/>
  <c r="H167" i="1"/>
  <c r="H905" i="1"/>
  <c r="H994" i="1"/>
  <c r="H995" i="1"/>
  <c r="H1409" i="1"/>
  <c r="F1523" i="1"/>
  <c r="F1251" i="1"/>
  <c r="F1202" i="1" s="1"/>
  <c r="H1252" i="1"/>
  <c r="H226" i="1"/>
  <c r="H540" i="1"/>
  <c r="F1621" i="1"/>
  <c r="F1831" i="1" s="1"/>
  <c r="F1832" i="1"/>
  <c r="H159" i="1" l="1"/>
  <c r="G142" i="1"/>
  <c r="G299" i="1"/>
  <c r="G289" i="1" s="1"/>
  <c r="G1215" i="1"/>
  <c r="H1216" i="1"/>
  <c r="H1003" i="1"/>
  <c r="G81" i="1"/>
  <c r="G80" i="1" s="1"/>
  <c r="H80" i="1" s="1"/>
  <c r="H166" i="1"/>
  <c r="H373" i="1"/>
  <c r="H1460" i="1"/>
  <c r="H1461" i="1"/>
  <c r="H1148" i="1"/>
  <c r="H1149" i="1"/>
  <c r="H1511" i="1"/>
  <c r="H1512" i="1"/>
  <c r="H613" i="1"/>
  <c r="H614" i="1"/>
  <c r="H824" i="1"/>
  <c r="H1506" i="1"/>
  <c r="H1680" i="1"/>
  <c r="H1681" i="1"/>
  <c r="G59" i="1"/>
  <c r="H60" i="1"/>
  <c r="H1423" i="1"/>
  <c r="H1424" i="1"/>
  <c r="H513" i="1"/>
  <c r="H514" i="1"/>
  <c r="H786" i="1"/>
  <c r="H787" i="1"/>
  <c r="G67" i="1"/>
  <c r="H67" i="1" s="1"/>
  <c r="H68" i="1"/>
  <c r="G115" i="1"/>
  <c r="H115" i="1" s="1"/>
  <c r="H116" i="1"/>
  <c r="H1295" i="1"/>
  <c r="H859" i="1"/>
  <c r="H855" i="1"/>
  <c r="H1374" i="1"/>
  <c r="H277" i="1"/>
  <c r="H753" i="1"/>
  <c r="H1002" i="1"/>
  <c r="H1408" i="1"/>
  <c r="H1759" i="1"/>
  <c r="H1760" i="1"/>
  <c r="F1347" i="1"/>
  <c r="H1348" i="1"/>
  <c r="H125" i="1"/>
  <c r="H1574" i="1"/>
  <c r="H1451" i="1"/>
  <c r="H90" i="1"/>
  <c r="H89" i="1"/>
  <c r="H729" i="1"/>
  <c r="F1615" i="1"/>
  <c r="F1596" i="1" s="1"/>
  <c r="F1448" i="1" s="1"/>
  <c r="H1616" i="1"/>
  <c r="H591" i="1"/>
  <c r="H592" i="1"/>
  <c r="H293" i="1"/>
  <c r="H1796" i="1"/>
  <c r="H1797" i="1"/>
  <c r="H497" i="1"/>
  <c r="H498" i="1"/>
  <c r="F301" i="1"/>
  <c r="H302" i="1"/>
  <c r="H532" i="1"/>
  <c r="H1633" i="1"/>
  <c r="H607" i="1"/>
  <c r="H1251" i="1"/>
  <c r="H809" i="1"/>
  <c r="H1668" i="1"/>
  <c r="H1831" i="1"/>
  <c r="H1621" i="1"/>
  <c r="H650" i="1"/>
  <c r="H1325" i="1"/>
  <c r="H281" i="1"/>
  <c r="H282" i="1"/>
  <c r="H490" i="1"/>
  <c r="H491" i="1"/>
  <c r="F142" i="1"/>
  <c r="F41" i="1" s="1"/>
  <c r="H145" i="1"/>
  <c r="H556" i="1"/>
  <c r="H782" i="1"/>
  <c r="H570" i="1"/>
  <c r="H571" i="1"/>
  <c r="H586" i="1"/>
  <c r="H920" i="1"/>
  <c r="G10" i="1"/>
  <c r="H15" i="1"/>
  <c r="H904" i="1"/>
  <c r="H428" i="1"/>
  <c r="H737" i="1"/>
  <c r="H738" i="1"/>
  <c r="H367" i="1"/>
  <c r="H368" i="1"/>
  <c r="H415" i="1"/>
  <c r="H407" i="1"/>
  <c r="H408" i="1"/>
  <c r="H466" i="1"/>
  <c r="H879" i="1"/>
  <c r="H1288" i="1"/>
  <c r="H1726" i="1"/>
  <c r="H1660" i="1"/>
  <c r="H1661" i="1"/>
  <c r="H1737" i="1"/>
  <c r="G32" i="1"/>
  <c r="H32" i="1" s="1"/>
  <c r="H33" i="1"/>
  <c r="H1524" i="1"/>
  <c r="H1525" i="1"/>
  <c r="H1470" i="1"/>
  <c r="H1469" i="1"/>
  <c r="H402" i="1"/>
  <c r="H401" i="1"/>
  <c r="H1599" i="1"/>
  <c r="H88" i="1"/>
  <c r="H102" i="1"/>
  <c r="H1304" i="1"/>
  <c r="H1305" i="1"/>
  <c r="H1342" i="1"/>
  <c r="H1337" i="1"/>
  <c r="H1539" i="1"/>
  <c r="H187" i="1"/>
  <c r="H188" i="1"/>
  <c r="H1786" i="1"/>
  <c r="H1832" i="1"/>
  <c r="H1712" i="1"/>
  <c r="H1159" i="1"/>
  <c r="G46" i="1" l="1"/>
  <c r="G41" i="1" s="1"/>
  <c r="G40" i="1" s="1"/>
  <c r="G1214" i="1"/>
  <c r="H1215" i="1"/>
  <c r="H81" i="1"/>
  <c r="H1538" i="1"/>
  <c r="H1598" i="1"/>
  <c r="H1287" i="1"/>
  <c r="H649" i="1"/>
  <c r="H1772" i="1"/>
  <c r="H1785" i="1"/>
  <c r="H606" i="1"/>
  <c r="H1572" i="1"/>
  <c r="H1573" i="1"/>
  <c r="H751" i="1"/>
  <c r="H752" i="1"/>
  <c r="H1373" i="1"/>
  <c r="H823" i="1"/>
  <c r="H1735" i="1"/>
  <c r="H1736" i="1"/>
  <c r="H1725" i="1"/>
  <c r="H878" i="1"/>
  <c r="H464" i="1"/>
  <c r="H465" i="1"/>
  <c r="H413" i="1"/>
  <c r="H414" i="1"/>
  <c r="H919" i="1"/>
  <c r="H519" i="1"/>
  <c r="H389" i="1"/>
  <c r="G9" i="1"/>
  <c r="H10" i="1"/>
  <c r="H585" i="1"/>
  <c r="H781" i="1"/>
  <c r="H270" i="1"/>
  <c r="H271" i="1"/>
  <c r="H292" i="1"/>
  <c r="F1320" i="1"/>
  <c r="F912" i="1" s="1"/>
  <c r="F854" i="1" s="1"/>
  <c r="H1347" i="1"/>
  <c r="H1293" i="1"/>
  <c r="H1294" i="1"/>
  <c r="H896" i="1"/>
  <c r="H897" i="1"/>
  <c r="H1632" i="1"/>
  <c r="H1615" i="1"/>
  <c r="F300" i="1"/>
  <c r="H301" i="1"/>
  <c r="H728" i="1"/>
  <c r="H1450" i="1"/>
  <c r="H123" i="1"/>
  <c r="H124" i="1"/>
  <c r="H1001" i="1"/>
  <c r="H46" i="1"/>
  <c r="H59" i="1"/>
  <c r="H1505" i="1"/>
  <c r="H555" i="1"/>
  <c r="H358" i="1"/>
  <c r="G1202" i="1" l="1"/>
  <c r="G912" i="1" s="1"/>
  <c r="G854" i="1" s="1"/>
  <c r="H1214" i="1"/>
  <c r="H1320" i="1"/>
  <c r="H9" i="1"/>
  <c r="G8" i="1"/>
  <c r="H291" i="1"/>
  <c r="H726" i="1"/>
  <c r="H727" i="1"/>
  <c r="H142" i="1"/>
  <c r="H876" i="1"/>
  <c r="H877" i="1"/>
  <c r="H1503" i="1"/>
  <c r="H1504" i="1"/>
  <c r="H583" i="1"/>
  <c r="H584" i="1"/>
  <c r="H1372" i="1"/>
  <c r="H1358" i="1"/>
  <c r="H1283" i="1"/>
  <c r="H1597" i="1"/>
  <c r="H1596" i="1"/>
  <c r="H1286" i="1"/>
  <c r="H780" i="1"/>
  <c r="H1371" i="1"/>
  <c r="H1407" i="1"/>
  <c r="H640" i="1"/>
  <c r="H641" i="1"/>
  <c r="H463" i="1"/>
  <c r="H482" i="1"/>
  <c r="H1523" i="1"/>
  <c r="H1537" i="1"/>
  <c r="H993" i="1"/>
  <c r="F299" i="1"/>
  <c r="H300" i="1"/>
  <c r="H1449" i="1"/>
  <c r="H918" i="1"/>
  <c r="H913" i="1"/>
  <c r="H1724" i="1"/>
  <c r="H1723" i="1"/>
  <c r="H822" i="1"/>
  <c r="H821" i="1"/>
  <c r="H598" i="1"/>
  <c r="H597" i="1"/>
  <c r="H773" i="1" l="1"/>
  <c r="H772" i="1"/>
  <c r="H290" i="1"/>
  <c r="H1282" i="1"/>
  <c r="H1202" i="1"/>
  <c r="H1448" i="1"/>
  <c r="H41" i="1"/>
  <c r="F289" i="1"/>
  <c r="F40" i="1" s="1"/>
  <c r="F8" i="1" s="1"/>
  <c r="H299" i="1"/>
  <c r="H40" i="1" l="1"/>
  <c r="H289" i="1"/>
  <c r="H912" i="1" l="1"/>
  <c r="H854" i="1" l="1"/>
  <c r="H8" i="1"/>
</calcChain>
</file>

<file path=xl/comments1.xml><?xml version="1.0" encoding="utf-8"?>
<comments xmlns="http://schemas.openxmlformats.org/spreadsheetml/2006/main">
  <authors>
    <author>Умрихина</author>
    <author>майкова</author>
    <author>Майкова</author>
    <author>ТАНЯ</author>
    <author>Майкова Татьяна Алексеевна</author>
    <author>admin</author>
  </authors>
  <commentList>
    <comment ref="F18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G18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I52" authorId="1">
      <text>
        <r>
          <rPr>
            <b/>
            <sz val="9"/>
            <color indexed="81"/>
            <rFont val="Tahoma"/>
            <family val="2"/>
            <charset val="204"/>
          </rPr>
          <t>+224708 - ремонт отмостки здания АШР</t>
        </r>
      </text>
    </comment>
    <comment ref="I195" authorId="1">
      <text>
        <r>
          <rPr>
            <b/>
            <sz val="9"/>
            <color indexed="81"/>
            <rFont val="Tahoma"/>
            <family val="2"/>
            <charset val="204"/>
          </rPr>
          <t>+15600 - ремонт машины за счет страх. премии</t>
        </r>
      </text>
    </comment>
    <comment ref="I220" authorId="1">
      <text>
        <r>
          <rPr>
            <b/>
            <sz val="9"/>
            <color indexed="81"/>
            <rFont val="Tahoma"/>
            <family val="2"/>
            <charset val="204"/>
          </rPr>
          <t>-15600 - на ремонт авто с Дня защиты детей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221" authorId="2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221" authorId="2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I249" authorId="1">
      <text>
        <r>
          <rPr>
            <b/>
            <sz val="9"/>
            <color indexed="81"/>
            <rFont val="Tahoma"/>
            <family val="2"/>
            <charset val="204"/>
          </rPr>
          <t>-120000</t>
        </r>
      </text>
    </comment>
    <comment ref="I251" authorId="1">
      <text>
        <r>
          <rPr>
            <b/>
            <sz val="9"/>
            <color indexed="81"/>
            <rFont val="Tahoma"/>
            <family val="2"/>
            <charset val="204"/>
          </rPr>
          <t>-25000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340" authorId="1">
      <text>
        <r>
          <rPr>
            <b/>
            <sz val="9"/>
            <color indexed="81"/>
            <rFont val="Tahoma"/>
            <family val="2"/>
            <charset val="204"/>
          </rPr>
          <t>-30000,0 - на резерв в УФ</t>
        </r>
      </text>
    </comment>
    <comment ref="I355" authorId="1">
      <text>
        <r>
          <rPr>
            <b/>
            <sz val="9"/>
            <color indexed="81"/>
            <rFont val="Tahoma"/>
            <family val="2"/>
            <charset val="204"/>
          </rPr>
          <t>+400000 - для расчета за вып. работы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357" authorId="3">
      <text>
        <r>
          <rPr>
            <sz val="9"/>
            <color indexed="81"/>
            <rFont val="Tahoma"/>
            <family val="2"/>
            <charset val="204"/>
          </rPr>
          <t>700 - субсидия АТП
+100,0 - по решению бюдж.комиссии</t>
        </r>
      </text>
    </comment>
    <comment ref="G357" authorId="3">
      <text>
        <r>
          <rPr>
            <sz val="9"/>
            <color indexed="81"/>
            <rFont val="Tahoma"/>
            <family val="2"/>
            <charset val="204"/>
          </rPr>
          <t>700 - субсидия АТП
+100,0 - по решению бюдж.комиссии</t>
        </r>
      </text>
    </comment>
    <comment ref="I357" authorId="1">
      <text>
        <r>
          <rPr>
            <b/>
            <sz val="9"/>
            <color indexed="81"/>
            <rFont val="Tahoma"/>
            <family val="2"/>
            <charset val="204"/>
          </rPr>
          <t>48800 - субсидии АТП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418" authorId="4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G418" authorId="4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F421" authorId="4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421" authorId="4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441" authorId="4">
      <text>
        <r>
          <rPr>
            <b/>
            <sz val="8"/>
            <color indexed="81"/>
            <rFont val="Tahoma"/>
            <family val="2"/>
            <charset val="204"/>
          </rPr>
          <t>-12000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441" authorId="4">
      <text>
        <r>
          <rPr>
            <b/>
            <sz val="8"/>
            <color indexed="81"/>
            <rFont val="Tahoma"/>
            <family val="2"/>
            <charset val="204"/>
          </rPr>
          <t>-12000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I446" authorId="1">
      <text>
        <r>
          <rPr>
            <b/>
            <sz val="9"/>
            <color indexed="81"/>
            <rFont val="Tahoma"/>
            <family val="2"/>
            <charset val="204"/>
          </rPr>
          <t>-30000 - на 0408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457" authorId="1">
      <text>
        <r>
          <rPr>
            <b/>
            <sz val="9"/>
            <color indexed="81"/>
            <rFont val="Tahoma"/>
            <family val="2"/>
            <charset val="204"/>
          </rPr>
          <t>-40000,0 - на резерв в УФ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523" authorId="1">
      <text>
        <r>
          <rPr>
            <b/>
            <sz val="9"/>
            <color indexed="81"/>
            <rFont val="Tahoma"/>
            <family val="2"/>
            <charset val="204"/>
          </rPr>
          <t>-950600 - экономия по скважине
+962000 - с субсидий ЖКХ на вып-е работ ЖКХ</t>
        </r>
      </text>
    </comment>
    <comment ref="I525" authorId="1">
      <text>
        <r>
          <rPr>
            <b/>
            <sz val="9"/>
            <color indexed="81"/>
            <rFont val="Tahoma"/>
            <family val="2"/>
            <charset val="204"/>
          </rPr>
          <t>-962000 - на вып. работы ЖКХ с субсидий на ЖКХ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538" authorId="2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G538" authorId="2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I543" authorId="1">
      <text>
        <r>
          <rPr>
            <b/>
            <sz val="9"/>
            <color indexed="81"/>
            <rFont val="Tahoma"/>
            <family val="2"/>
            <charset val="204"/>
          </rPr>
          <t>+300000 - на МП ком.хоз-во с трудоустр-ва подростков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634" authorId="1">
      <text>
        <r>
          <rPr>
            <b/>
            <sz val="9"/>
            <color indexed="81"/>
            <rFont val="Tahoma"/>
            <family val="2"/>
            <charset val="204"/>
          </rPr>
          <t>-12000</t>
        </r>
      </text>
    </comment>
    <comment ref="I636" authorId="1">
      <text>
        <r>
          <rPr>
            <b/>
            <sz val="9"/>
            <color indexed="81"/>
            <rFont val="Tahoma"/>
            <family val="2"/>
            <charset val="204"/>
          </rPr>
          <t>-32500</t>
        </r>
      </text>
    </comment>
    <comment ref="I676" authorId="1">
      <text>
        <r>
          <rPr>
            <b/>
            <sz val="9"/>
            <color indexed="81"/>
            <rFont val="Tahoma"/>
            <family val="2"/>
            <charset val="204"/>
          </rPr>
          <t>-660000 - МЗ КСЦ:
-50,0 - АУП (РБ)
-60,0 - БСП
-80,0 - ПСП
-100 - ССП
-20,0 - ТСП
-100,0 - ШСП</t>
        </r>
      </text>
    </comment>
    <comment ref="I803" authorId="1">
      <text>
        <r>
          <rPr>
            <b/>
            <sz val="9"/>
            <color indexed="81"/>
            <rFont val="Tahoma"/>
            <family val="2"/>
            <charset val="204"/>
          </rPr>
          <t>-50000 - МЗ КСЦ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907" authorId="1">
      <text>
        <r>
          <rPr>
            <b/>
            <sz val="9"/>
            <color indexed="81"/>
            <rFont val="Tahoma"/>
            <family val="2"/>
            <charset val="204"/>
          </rPr>
          <t>+300000 - на МП ком.хоз-во с трудоустр-ва подростков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965" authorId="1">
      <text>
        <r>
          <rPr>
            <b/>
            <sz val="9"/>
            <color indexed="81"/>
            <rFont val="Tahoma"/>
            <family val="2"/>
            <charset val="204"/>
          </rPr>
          <t>+500 - отопление с сент.новый сад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965" authorId="1">
      <text>
        <r>
          <rPr>
            <b/>
            <sz val="9"/>
            <color indexed="81"/>
            <rFont val="Tahoma"/>
            <family val="2"/>
            <charset val="204"/>
          </rPr>
          <t>+500 - отопление с сент.новый сад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965" authorId="1">
      <text>
        <r>
          <rPr>
            <b/>
            <sz val="9"/>
            <color indexed="81"/>
            <rFont val="Tahoma"/>
            <family val="2"/>
            <charset val="204"/>
          </rPr>
          <t>+75000 - за ТКО д/с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+70000 - ПСД ОПС д/с ЛД
+250000 - ремонт туалета д/с ЛД</t>
        </r>
      </text>
    </comment>
    <comment ref="F974" authorId="1">
      <text>
        <r>
          <rPr>
            <b/>
            <sz val="9"/>
            <color indexed="81"/>
            <rFont val="Tahoma"/>
            <family val="2"/>
            <charset val="204"/>
          </rPr>
          <t>+1500 - оснащение нов. дет.сада</t>
        </r>
      </text>
    </comment>
    <comment ref="G974" authorId="1">
      <text>
        <r>
          <rPr>
            <b/>
            <sz val="9"/>
            <color indexed="81"/>
            <rFont val="Tahoma"/>
            <family val="2"/>
            <charset val="204"/>
          </rPr>
          <t>+1500 - оснащение нов. дет.сада</t>
        </r>
      </text>
    </comment>
    <comment ref="I1135" authorId="1">
      <text>
        <r>
          <rPr>
            <b/>
            <sz val="9"/>
            <color indexed="81"/>
            <rFont val="Tahoma"/>
            <family val="2"/>
            <charset val="204"/>
          </rPr>
          <t>+70000 - входная дверь здания М/Бр СОШ
-320000 - уголь Баткат СОШ</t>
        </r>
      </text>
    </comment>
    <comment ref="I1169" authorId="1">
      <text>
        <r>
          <rPr>
            <b/>
            <sz val="9"/>
            <color indexed="81"/>
            <rFont val="Tahoma"/>
            <family val="2"/>
            <charset val="204"/>
          </rPr>
          <t>-3150000 - уточнение раздела на 0709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172" authorId="1">
      <text>
        <r>
          <rPr>
            <b/>
            <sz val="9"/>
            <color indexed="81"/>
            <rFont val="Tahoma"/>
            <family val="2"/>
            <charset val="204"/>
          </rPr>
          <t>-852200 - на резерв в УФ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184" authorId="1">
      <text>
        <r>
          <rPr>
            <b/>
            <sz val="9"/>
            <color indexed="81"/>
            <rFont val="Tahoma"/>
            <family val="2"/>
            <charset val="204"/>
          </rPr>
          <t>+300000 - на МП ком.хоз-во с трудоустр-ва подростков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189" authorId="1">
      <text>
        <r>
          <rPr>
            <b/>
            <sz val="9"/>
            <color indexed="81"/>
            <rFont val="Tahoma"/>
            <family val="2"/>
            <charset val="204"/>
          </rPr>
          <t>-12000 - на 0503 (те, которые в Отделе образования)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240" authorId="1">
      <text>
        <r>
          <rPr>
            <b/>
            <sz val="9"/>
            <color indexed="81"/>
            <rFont val="Tahoma"/>
            <family val="2"/>
            <charset val="204"/>
          </rPr>
          <t>+17500 - за ТКО ЦДТ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361" authorId="1">
      <text>
        <r>
          <rPr>
            <b/>
            <sz val="9"/>
            <color indexed="81"/>
            <rFont val="Tahoma"/>
            <family val="2"/>
            <charset val="204"/>
          </rPr>
          <t>+3150000 - уточнение раздела на 0709 с 0702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367" authorId="1">
      <text>
        <r>
          <rPr>
            <b/>
            <sz val="9"/>
            <color indexed="81"/>
            <rFont val="Tahoma"/>
            <family val="2"/>
            <charset val="204"/>
          </rPr>
          <t>-400000 - 300,0 на МП ком.хоз-во, 100,0 на охр. окр. ср.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393" authorId="1">
      <text>
        <r>
          <rPr>
            <b/>
            <sz val="9"/>
            <color indexed="81"/>
            <rFont val="Tahoma"/>
            <family val="2"/>
            <charset val="204"/>
          </rPr>
          <t>+732200 - на устр-во основания для спорт. площ. на стадионе</t>
        </r>
      </text>
    </comment>
    <comment ref="I1474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-61452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1477" authorId="2">
      <text>
        <r>
          <rPr>
            <sz val="8"/>
            <color indexed="81"/>
            <rFont val="Tahoma"/>
            <family val="2"/>
            <charset val="204"/>
          </rPr>
          <t>421 - казнач. исполн. бюджета</t>
        </r>
      </text>
    </comment>
    <comment ref="G1477" authorId="2">
      <text>
        <r>
          <rPr>
            <sz val="8"/>
            <color indexed="81"/>
            <rFont val="Tahoma"/>
            <family val="2"/>
            <charset val="204"/>
          </rPr>
          <t>421 - казнач. исполн. бюджета</t>
        </r>
      </text>
    </comment>
    <comment ref="I1480" authorId="1">
      <text>
        <r>
          <rPr>
            <b/>
            <sz val="9"/>
            <color indexed="81"/>
            <rFont val="Tahoma"/>
            <family val="2"/>
            <charset val="204"/>
          </rPr>
          <t>+922200 - с софинансирования на ПСД Баткатской СОШ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1717" authorId="5">
      <text>
        <r>
          <rPr>
            <b/>
            <sz val="9"/>
            <color indexed="81"/>
            <rFont val="Tahoma"/>
            <family val="2"/>
            <charset val="204"/>
          </rPr>
          <t xml:space="preserve">170,6- возмещение расходов на детей-инвалидов и сирот в д/с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1717" authorId="5">
      <text>
        <r>
          <rPr>
            <b/>
            <sz val="9"/>
            <color indexed="81"/>
            <rFont val="Tahoma"/>
            <family val="2"/>
            <charset val="204"/>
          </rPr>
          <t xml:space="preserve">170,6- возмещение расходов на детей-инвалидов и сирот в д/с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730" authorId="1">
      <text>
        <r>
          <rPr>
            <b/>
            <sz val="9"/>
            <color indexed="81"/>
            <rFont val="Tahoma"/>
            <family val="2"/>
            <charset val="204"/>
          </rPr>
          <t>+61452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732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-61452
</t>
        </r>
      </text>
    </comment>
    <comment ref="F1734" authorId="4">
      <text>
        <r>
          <rPr>
            <b/>
            <sz val="8"/>
            <color indexed="81"/>
            <rFont val="Tahoma"/>
            <family val="2"/>
            <charset val="204"/>
          </rPr>
          <t>-500000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1734" authorId="4">
      <text>
        <r>
          <rPr>
            <b/>
            <sz val="8"/>
            <color indexed="81"/>
            <rFont val="Tahoma"/>
            <family val="2"/>
            <charset val="204"/>
          </rPr>
          <t>-500000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I1766" authorId="1">
      <text>
        <r>
          <rPr>
            <b/>
            <sz val="9"/>
            <color indexed="81"/>
            <rFont val="Tahoma"/>
            <family val="2"/>
            <charset val="204"/>
          </rPr>
          <t>+161938,4 - на устр-во резиновой плитки спорт.площ. Баткат</t>
        </r>
      </text>
    </comment>
    <comment ref="F1795" authorId="2">
      <text>
        <r>
          <rPr>
            <b/>
            <sz val="8"/>
            <color indexed="81"/>
            <rFont val="Tahoma"/>
            <family val="2"/>
            <charset val="204"/>
          </rPr>
          <t>1588,4 - резерв для распределения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1795" authorId="2">
      <text>
        <r>
          <rPr>
            <b/>
            <sz val="8"/>
            <color indexed="81"/>
            <rFont val="Tahoma"/>
            <family val="2"/>
            <charset val="204"/>
          </rPr>
          <t>1588,4 - резерв для распределения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I1795" authorId="1">
      <text>
        <r>
          <rPr>
            <b/>
            <sz val="9"/>
            <color indexed="81"/>
            <rFont val="Tahoma"/>
            <family val="2"/>
            <charset val="204"/>
          </rPr>
          <t>+61452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800" authorId="1">
      <text>
        <r>
          <rPr>
            <b/>
            <sz val="9"/>
            <color indexed="81"/>
            <rFont val="Tahoma"/>
            <family val="2"/>
            <charset val="204"/>
          </rPr>
          <t>-360000 - МБТ на сбал-ть для МЗ КСЦ:
-60,0 - БСП
-80,0 - ПСП
-100 - ССП
-20,0 - ТСП
-100,0 - ШСП
+550000 - МБТ на сбал-ть:
+100,0 - АСП
+450,0 - ШСП</t>
        </r>
      </text>
    </comment>
    <comment ref="F1812" authorId="4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  <comment ref="G1812" authorId="4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</commentList>
</comments>
</file>

<file path=xl/sharedStrings.xml><?xml version="1.0" encoding="utf-8"?>
<sst xmlns="http://schemas.openxmlformats.org/spreadsheetml/2006/main" count="8001" uniqueCount="977">
  <si>
    <t>тыс.руб.</t>
  </si>
  <si>
    <t>В С Е Г О</t>
  </si>
  <si>
    <t xml:space="preserve">Муниципальное казенное учреждение "Дума Шегарского района" </t>
  </si>
  <si>
    <t>901</t>
  </si>
  <si>
    <t/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</si>
  <si>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</si>
  <si>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</si>
  <si>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</si>
  <si>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902</t>
  </si>
  <si>
    <t>0102</t>
  </si>
  <si>
    <t>0000000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</si>
  <si>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</si>
  <si>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0020000</t>
  </si>
  <si>
    <t>Глава муниципального образования</t>
  </si>
  <si>
    <t>0020300</t>
  </si>
  <si>
    <t>Выполнение функций  органами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</si>
  <si>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</si>
  <si>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</si>
  <si>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002 00 00 000</t>
  </si>
  <si>
    <t>Председатель представительного органа местного самоуправления</t>
  </si>
  <si>
    <t>0021100</t>
  </si>
  <si>
    <t>Центральный аппарат</t>
  </si>
  <si>
    <t>002 04 00 000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</si>
  <si>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</si>
  <si>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</si>
  <si>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</si>
  <si>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</si>
  <si>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</si>
  <si>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Премии и гранты</t>
  </si>
  <si>
    <t>Иные бюджетные ассигнования</t>
  </si>
  <si>
    <t>Исполнение судебных актов</t>
  </si>
  <si>
    <t>Уплата налогов, сборов и иных платежей</t>
  </si>
  <si>
    <t>070 00 00</t>
  </si>
  <si>
    <t>Резервные фонды местных администраций</t>
  </si>
  <si>
    <t>070 05 00</t>
  </si>
  <si>
    <t>070 05 01</t>
  </si>
  <si>
    <t>200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</si>
  <si>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</si>
  <si>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</si>
  <si>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</si>
  <si>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контрольно-счетного органа</t>
    </r>
  </si>
  <si>
    <t xml:space="preserve">002 04 92 000 </t>
  </si>
  <si>
    <t>002 04 92 000</t>
  </si>
  <si>
    <t>100</t>
  </si>
  <si>
    <t>120</t>
  </si>
  <si>
    <t xml:space="preserve">Муниципальное казенное учреждение "Администрация Шегарского района" </t>
  </si>
  <si>
    <t>Глава местной администрации исполнительно-распорядительного органа местной администрации</t>
  </si>
  <si>
    <t>002 08 00 000</t>
  </si>
  <si>
    <t>Функционирование Правительства Российской Федерации, высших исполнительных органов государственной власти суъектов Российской Федерации, местных администраций</t>
  </si>
  <si>
    <t>0104</t>
  </si>
  <si>
    <t>Резервные средства</t>
  </si>
  <si>
    <t>Государственная программа «Улучшение инвестиционного климата и развитие экспорта Томской области»</t>
  </si>
  <si>
    <t>010 00 00 000</t>
  </si>
  <si>
    <t>Подпрограмма «Баланс экономических интересов потребителей и поставщиков на регулируемых рынках товаров и услуг»</t>
  </si>
  <si>
    <t xml:space="preserve">014 00 00 000 </t>
  </si>
  <si>
    <t>Ведомственная целевая программа «Реализация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маршрутам»</t>
  </si>
  <si>
    <t>014 62 00 000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</si>
  <si>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</si>
  <si>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014 62 40 450</t>
  </si>
  <si>
    <t>Государственная программа «Развитие предпринимательства и повышение эффективности государственного управления социально-экономическим развитием Томской области»</t>
  </si>
  <si>
    <t>030 00 00 000</t>
  </si>
  <si>
    <t>Подпрограмма «Развитие сферы общераспространенных полезных ископаемых»</t>
  </si>
  <si>
    <t>032 00 00 000</t>
  </si>
  <si>
    <t>Ведомственная целевая программа «Организация предоставления, переоформления и изъятия горных отводов для разработки месторождений и проявлений общераспространенных полезных ископаемых»</t>
  </si>
  <si>
    <t>032 60 00 000</t>
  </si>
  <si>
    <t>Осуществление отдельных государственных полномочий по подготовке и оформлению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</t>
  </si>
  <si>
    <t>032 60 40 100</t>
  </si>
  <si>
    <t>Резервные фонды</t>
  </si>
  <si>
    <t>070 00 00 000</t>
  </si>
  <si>
    <t>070 05 00 000</t>
  </si>
  <si>
    <t>Фонд финансирования непредвиденных расходов Администрации Шегарского района</t>
  </si>
  <si>
    <t>070 05 01 000</t>
  </si>
  <si>
    <t>Государственная программа «Развитие культуры и туризма в Томской области»</t>
  </si>
  <si>
    <t>100 00 00 000</t>
  </si>
  <si>
    <t>Подпрограмма «Развитие культуры и архивного дела в Томской области»</t>
  </si>
  <si>
    <t>101 00 00 000</t>
  </si>
  <si>
    <t>Ведомственная целевая программа «Обеспечение предоставления архивных услуг архивными учреждениями Томской области»</t>
  </si>
  <si>
    <t>101 63 00 000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</si>
  <si>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</si>
  <si>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101 63 40 640</t>
  </si>
  <si>
    <t>Государственная программа «Социальная поддержка населения Томской области»</t>
  </si>
  <si>
    <t>110 00 00 000</t>
  </si>
  <si>
    <t>Подпрограмма «Обеспечение мер социальной поддержки отдельных категорий граждан»</t>
  </si>
  <si>
    <t>111 00 00 000</t>
  </si>
  <si>
    <t>Ведомственная целевая программа «Исполнение принятых обязательств по социальной поддержке отдельных категорий граждан за счет средств областного бюджета»</t>
  </si>
  <si>
    <t>111 60 00 000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</si>
  <si>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совершеннолетних граждан</t>
  </si>
  <si>
    <t>111 60 40 700</t>
  </si>
  <si>
    <t>Основное мероприятие «Предоставление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помещений»</t>
  </si>
  <si>
    <t>111 89 00 000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</si>
  <si>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</si>
  <si>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111 89 40 820</t>
  </si>
  <si>
    <t>Подпрограмма «Обеспечение государственной поддержки семей, имеющих детей»</t>
  </si>
  <si>
    <t>114 00 00 000</t>
  </si>
  <si>
    <t>Ведомственная целевая программа «Организация работы по профилактике семейного неблагополучия»</t>
  </si>
  <si>
    <t>114 66 00 000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</si>
  <si>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</si>
  <si>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114 66 40 730</t>
  </si>
  <si>
    <t>Ведомственная целевая программа «Организация работы по развитию форм жизнеустройства детей-сирот и детей, оставшихся без попечения родителей»</t>
  </si>
  <si>
    <t>114 68 00 000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</si>
  <si>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несовершеннолетних граждан</t>
  </si>
  <si>
    <t>114 68 40 780</t>
  </si>
  <si>
    <t>Государственная программа «Жилье и городская среда Томской области»</t>
  </si>
  <si>
    <t>130 00 00 000</t>
  </si>
  <si>
    <t>Подпрограмма «Оказание государственной поддержки по улучшению жилищных условий отдельных категорий граждан»</t>
  </si>
  <si>
    <t>131 00 00 000</t>
  </si>
  <si>
    <t xml:space="preserve">Основное мероприятие «Осуществление мероприятий в рамках реализации основного мероприятия «Выполнение государственных обязательств по обеспечению жильем категорий граждан, установленных федеральным законодательством» государственной программы Российской Федерации «Обеспечение доступным и комфортным жильем и коммунальными услугами граждан Российской Федерации» </t>
  </si>
  <si>
    <t>131 81 00 000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</si>
  <si>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</si>
  <si>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131 81 40 800</t>
  </si>
  <si>
    <t>Государственная программа «Повышение эффективности регионального и муниципального управления в Томской области»</t>
  </si>
  <si>
    <t>230 00 00 000</t>
  </si>
  <si>
    <t xml:space="preserve">Подпрограмма "Развитие государственной гражданской и муниципальной службы, местного самоуправления в Томской области"
</t>
  </si>
  <si>
    <t>232 00 00 000</t>
  </si>
  <si>
    <t xml:space="preserve">Ведомственная целевая программа "Государственная поддержка развития местного самоуправления в Томской области"
</t>
  </si>
  <si>
    <t>232 60 00 000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</si>
  <si>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</si>
  <si>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232 60 40 940</t>
  </si>
  <si>
    <t>Судебная система</t>
  </si>
  <si>
    <t>0105</t>
  </si>
  <si>
    <t>Непрограммное направление расходов</t>
  </si>
  <si>
    <t>990 00 00 000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</si>
  <si>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</si>
  <si>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990 00 51 200 </t>
  </si>
  <si>
    <t>Обеспечение проведения выборов и референдумов</t>
  </si>
  <si>
    <t>0107</t>
  </si>
  <si>
    <t>Проведение выборов и референдумов</t>
  </si>
  <si>
    <t>020 00 00 000</t>
  </si>
  <si>
    <t>Проведение выборов в представительные органы муниципального образования</t>
  </si>
  <si>
    <t>020 00 02 000</t>
  </si>
  <si>
    <t>800</t>
  </si>
  <si>
    <t>Специальные расходы</t>
  </si>
  <si>
    <t>880</t>
  </si>
  <si>
    <t>Другие общегосударственные вопросы</t>
  </si>
  <si>
    <t>0113</t>
  </si>
  <si>
    <t>Осуществление полномочий по подготовке проведения статистических переписей</t>
  </si>
  <si>
    <t>0014300</t>
  </si>
  <si>
    <t>500</t>
  </si>
  <si>
    <t>Обеспечение деятельности подведомственных учреждений</t>
  </si>
  <si>
    <t>002 99 00 000</t>
  </si>
  <si>
    <t>Обеспечение деятельности Единой диспетчерско-дежурной службы</t>
  </si>
  <si>
    <t>002 99 01 000</t>
  </si>
  <si>
    <t>Расходы на выплаты персоналу казенных учреждений</t>
  </si>
  <si>
    <t>110</t>
  </si>
  <si>
    <t>Софинансирование расходов на обеспечение деятельности Единой диспетчерско-дежурной службы</t>
  </si>
  <si>
    <t>002 99 S0 000</t>
  </si>
  <si>
    <t>Софинансирование расходов на создание системы обеспечения вызова экстренных оперативных служб из районного бюджета</t>
  </si>
  <si>
    <t>002 99 S0 200</t>
  </si>
  <si>
    <t>Обеспечение деятельности Централизованной бухгалтерии Шегарского района</t>
  </si>
  <si>
    <t>002 99 02 000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</si>
  <si>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</si>
  <si>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</si>
  <si>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</si>
  <si>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</si>
  <si>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Резервный фонд финансирования непредвиденных расходов Администрации Шегарского района</t>
  </si>
  <si>
    <t>300</t>
  </si>
  <si>
    <t>Иные выплаты населению</t>
  </si>
  <si>
    <t>360</t>
  </si>
  <si>
    <t>Государственная программа "Развитие предпринимательства и повышение эффективности государственного управления социально-экономическим развитием Томской области"</t>
  </si>
  <si>
    <t xml:space="preserve">Подпрограмма "Совершенствование управления социально-экономическим развитием Томской области"
</t>
  </si>
  <si>
    <t>036 00 00 000</t>
  </si>
  <si>
    <t xml:space="preserve">Основное мероприятие "Проведение Всероссийской переписи населения 2020 года"
</t>
  </si>
  <si>
    <t>036 89 00 000</t>
  </si>
  <si>
    <t xml:space="preserve">Проведение Всероссийской переписи населения 2020 года
</t>
  </si>
  <si>
    <t>036 89 54 690</t>
  </si>
  <si>
    <t>Субсидии некоммерческим организациям (за исключением государственных (муниципальных) учреждений)</t>
  </si>
  <si>
    <t>630</t>
  </si>
  <si>
    <t>830</t>
  </si>
  <si>
    <t>850</t>
  </si>
  <si>
    <t>Фонд Администрации Шегарского района по ликвидации последствий стихийных бедствий и других чрезвычайных ситуаций</t>
  </si>
  <si>
    <t>070 05 02 000</t>
  </si>
  <si>
    <t>Реализация государственных функций, связанных с общегосударственным управлением</t>
  </si>
  <si>
    <t>092 00 00 000</t>
  </si>
  <si>
    <t>Выполнение других обязательств государства</t>
  </si>
  <si>
    <t>092 03 00 000</t>
  </si>
  <si>
    <t>Прочие выплаты по обязательствам государства</t>
  </si>
  <si>
    <t>092 03 05 000</t>
  </si>
  <si>
    <t>Расчеты со средствами массовой информации</t>
  </si>
  <si>
    <t>092 03 05 100</t>
  </si>
  <si>
    <t>Расходы на обслуживание муниципальной собственности</t>
  </si>
  <si>
    <t>092 03 05 200</t>
  </si>
  <si>
    <t>Капитальный ремонт кровли РДК "Заря"</t>
  </si>
  <si>
    <t>092 03 05 203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</si>
  <si>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</si>
  <si>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092 03 05 300</t>
  </si>
  <si>
    <t>Социальные выплаты гражданам, кроме публичных нормативных социальных выплат</t>
  </si>
  <si>
    <t>Уплата членских взносов в Совет муниципальных образований</t>
  </si>
  <si>
    <t>092 03 05 400</t>
  </si>
  <si>
    <t>Исполнение судебных актов, предусматривающих обращение взыскания на средства местного бюджета по денежным обязательствам муниципальных казенных учреждений</t>
  </si>
  <si>
    <t>092 03 05 500</t>
  </si>
  <si>
    <t>Иные выплаты по обязательствам государства</t>
  </si>
  <si>
    <t>092 03 05 900</t>
  </si>
  <si>
    <t>Субсидии автономным учреждениям</t>
  </si>
  <si>
    <t>620</t>
  </si>
  <si>
    <t>Субсидии некоммерческим организациям (за исключением государственных учреждений)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</si>
  <si>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</si>
  <si>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</si>
  <si>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Муниципальные программы</t>
  </si>
  <si>
    <t>795 00 00 000</t>
  </si>
  <si>
    <t>Муниципальная программа "Энергосбережение и повышение энергетической эффективности на территории Шегарского района" на период 2015-2020гг."</t>
  </si>
  <si>
    <t>795 05 00 000</t>
  </si>
  <si>
    <t>Муниципальная программа "Повышение обеспечения пожарной безопасности на территории Шегарского района на период 2018-2020 годов"</t>
  </si>
  <si>
    <t>Муниципальная программа "Повышение  обеспечения безопасности людей на водных объектах Шегарского района на период 2018-2020 годов"</t>
  </si>
  <si>
    <t>795 06 00 000</t>
  </si>
  <si>
    <t>Муниципальная программа "Доступная среда на период 2017-2020 годы"</t>
  </si>
  <si>
    <t>795 08 00 000</t>
  </si>
  <si>
    <t>Муниципальная программа "Поддержка специалистов на территории Шегарского района на 2020-2022 годы"</t>
  </si>
  <si>
    <t>795 09 00 000</t>
  </si>
  <si>
    <t>Муниципальная программа "Профилактика правонарушений и наркомании на территории Шегарского района на период 2018-2020 годов"</t>
  </si>
  <si>
    <t>795 10 00 000</t>
  </si>
  <si>
    <t>Муниципальная программа "Повышение безопасности дорожного движения на территории Шегарского района на период 2018-2020 годов"</t>
  </si>
  <si>
    <t>795 12 00 000</t>
  </si>
  <si>
    <t>Софинансирование расходов на реализацию проектов, отобранных по итогам проведения конкурса проектов по развитию туристической деятельности, из районного бюджета</t>
  </si>
  <si>
    <t>795 13 S0 690</t>
  </si>
  <si>
    <t>Муниципальная программа "Профилактика террористической и экстремистской деятельности на территории Шегарского района на период 2018-2020 годов"</t>
  </si>
  <si>
    <t>795 16 00 000</t>
  </si>
  <si>
    <t>Национальная оборона</t>
  </si>
  <si>
    <t>0200</t>
  </si>
  <si>
    <t>Мобилизационная подготовка экономики</t>
  </si>
  <si>
    <t>0204</t>
  </si>
  <si>
    <t>Реализация государственных функций по мобилизационной подготовке экономики</t>
  </si>
  <si>
    <t>209 00 00 000</t>
  </si>
  <si>
    <t>Мероприятия по обеспечению  мобилизационной готовности экономики</t>
  </si>
  <si>
    <t>209 01 00 000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</si>
  <si>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</si>
  <si>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</si>
  <si>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</si>
  <si>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</si>
  <si>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Мероприятия по предупреждению и ликвидации последствий чрезвычайных ситуаций и стихийных бедствий</t>
  </si>
  <si>
    <t>218 00 00 000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</si>
  <si>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</si>
  <si>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218 01 00 000</t>
  </si>
  <si>
    <t>218 01 00</t>
  </si>
  <si>
    <t>Субсидии юридическим лицам (кроме некоммерческих организаций), индивидуальным предпринимателям, физическим лицам</t>
  </si>
  <si>
    <t>Национальная экономика</t>
  </si>
  <si>
    <t>0400</t>
  </si>
  <si>
    <t>Общеэкономические вопросы</t>
  </si>
  <si>
    <t>0401</t>
  </si>
  <si>
    <t>Государственная программа "Развитие рынка труда в Томской области"</t>
  </si>
  <si>
    <t>050 00 00 000</t>
  </si>
  <si>
    <t>Подпрограмма «Развитие социального партнерства, улучшение условий и охраны труда в Томской области»</t>
  </si>
  <si>
    <t>052 00 00 000</t>
  </si>
  <si>
    <t>Ведомственная целевая программа «Содействие развитию социального партнерства, улучшению условий и охраны труда в Томской области»</t>
  </si>
  <si>
    <t>052 62 00 000</t>
  </si>
  <si>
    <t>Осуществление отдельных государственных полномочий по регистрации коллективных договоров</t>
  </si>
  <si>
    <t>052 62 40 040</t>
  </si>
  <si>
    <t>Сельское хозяйство и рыболовство</t>
  </si>
  <si>
    <t>0405</t>
  </si>
  <si>
    <t>Государственная программа «Развитие сельского хозяйства, рынков сырья и продовольствия в Томской области»</t>
  </si>
  <si>
    <t>060 00 00 000</t>
  </si>
  <si>
    <t>Подпрограмма «Развитие сельскохозяйственного производства в Томской области»</t>
  </si>
  <si>
    <t>061 00 00 000</t>
  </si>
  <si>
    <t>Ведомственная целевая программа «Защита животных от болезней, защита населения от болезней, общих для человека и животных»</t>
  </si>
  <si>
    <t>061 70 00 000</t>
  </si>
  <si>
    <t xml:space="preserve"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
</t>
  </si>
  <si>
    <t>061 70 40 160</t>
  </si>
  <si>
    <t xml:space="preserve"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(осуществление управленческих функций органами местного самоуправления)
</t>
  </si>
  <si>
    <t>061 70 40 170</t>
  </si>
  <si>
    <t>Основное мероприятие «Поддержка малых форм хозяйствования»</t>
  </si>
  <si>
    <t>061 82 00 000</t>
  </si>
  <si>
    <t>Поддержка малых форм хозяйствования</t>
  </si>
  <si>
    <t>061 82 40 200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</si>
  <si>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</si>
  <si>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>061 82 40 210</t>
  </si>
  <si>
    <t xml:space="preserve">Основное мероприятие "Стимулирование развития приоритетных подотраслей агропромышленного комплекса и развитие малых форм хозяйствования"
</t>
  </si>
  <si>
    <t>061 89 00 000</t>
  </si>
  <si>
    <t xml:space="preserve">Стимулирование развития приоритетных подотраслей агропромышленного комплекса и развитие малых форм хозяйствования
</t>
  </si>
  <si>
    <t>061 89 45 020</t>
  </si>
  <si>
    <t>061 89 R5 020</t>
  </si>
  <si>
    <t xml:space="preserve">Основное мероприятие "Поддержка отдельных подотраслей растениеводства и животноводства
</t>
  </si>
  <si>
    <t>061 90 00 000</t>
  </si>
  <si>
    <t xml:space="preserve">Поддержка сельскохозяйственного производства по отдельным подотраслям растениеводства и животноводства
</t>
  </si>
  <si>
    <t>061 90 45 080</t>
  </si>
  <si>
    <t>Поддержка сельскохозяйственного производства по отдельным подотраслям растениеводства и животноводства</t>
  </si>
  <si>
    <t>061 90 R5 080</t>
  </si>
  <si>
    <t>Муниципальная  программа "Развитие сельскохозяйственного производства и расширения рынка сельскохозяйственной продукции, сырья и продовольствия в части малых форм хозяйствования в Шегарском районе Томской области на 2018-2020 годы"</t>
  </si>
  <si>
    <t>795 04 00 000</t>
  </si>
  <si>
    <t>870</t>
  </si>
  <si>
    <t>Транспорт</t>
  </si>
  <si>
    <t>0408</t>
  </si>
  <si>
    <t>Муниципальная  программа "Развитие малого и среднего предпринимательства в Шегарском районе на период 2018-2020г. г."</t>
  </si>
  <si>
    <t>795 03 00 000</t>
  </si>
  <si>
    <t>Дорожное хозяйство (дорожные фонды)</t>
  </si>
  <si>
    <t>0409</t>
  </si>
  <si>
    <t>070 05 02</t>
  </si>
  <si>
    <t xml:space="preserve">Государственная программа "Развитие транспортной инфраструктуры в Томской области"
</t>
  </si>
  <si>
    <t>180 00 00 000</t>
  </si>
  <si>
    <t xml:space="preserve">Подпрограмма "Сохранение и развитие автомобильных дорог Томской области"
</t>
  </si>
  <si>
    <t>182 00 00 000</t>
  </si>
  <si>
    <t xml:space="preserve">Основное мероприятие "Капитальный ремонт и (или) ремонт автомобильных дорог общего пользования местного значения"
</t>
  </si>
  <si>
    <t>182 84 00 000</t>
  </si>
  <si>
    <t xml:space="preserve">Капитальный ремонт и (или) ремонт автомобильных дорог общего пользования местного значения
</t>
  </si>
  <si>
    <t>182 84 40 930</t>
  </si>
  <si>
    <t>Дорожное хозяйство</t>
  </si>
  <si>
    <t>315 00 00 000</t>
  </si>
  <si>
    <t>Поддержка дорожного хозяйства</t>
  </si>
  <si>
    <t>315 02 00 000</t>
  </si>
  <si>
    <t>Дорожная деятельность в отношении автомобильных дорог местного значения,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</t>
  </si>
  <si>
    <t>315 02 12 000</t>
  </si>
  <si>
    <t>Софинансирование расходов на ремонт автомобильных дорог общего пользования местного значения в границах муниципальных районов</t>
  </si>
  <si>
    <t>315 02 S0 895</t>
  </si>
  <si>
    <t>Муниципальная программа "Развитие автомобильных дорог общего пользования местного значения Шегарского района Томской области на 2018-2020годы"</t>
  </si>
  <si>
    <t>795 07 00 000</t>
  </si>
  <si>
    <t>Софинансирование расходов на ремонт автомобильных дорог общего пользования местного значения из районного бюджета</t>
  </si>
  <si>
    <t>795 07 S0 000</t>
  </si>
  <si>
    <t>Капитальный ремонт и (или) ремонт автомобильных дорог общего пользования местного значения
в рамках МП "Развитие автомобильных дорог общего пользования местного значения на территории Шегарского района на период 2018-2020гг." (РБ)</t>
  </si>
  <si>
    <t>795 07 S0 930</t>
  </si>
  <si>
    <t>Другие вопросы в области национальной экономики</t>
  </si>
  <si>
    <t>0412</t>
  </si>
  <si>
    <t>Государственная программа "Развитие культуры и туризма в Томской области"</t>
  </si>
  <si>
    <t>Подпрограмма «Развитие внутреннего и въездного туризма на территории Томской области»</t>
  </si>
  <si>
    <t>102 00 00 000</t>
  </si>
  <si>
    <t>Основное мероприятие «Создание условий для развития туристской деятельности и поддержка развития приоритетных направлений туризма»</t>
  </si>
  <si>
    <t>102 82 00 000</t>
  </si>
  <si>
    <t>Реализация проектов, отобранных по итогам проведения конкурса проектов</t>
  </si>
  <si>
    <t>102 82 40 690</t>
  </si>
  <si>
    <t>Основное мероприятие «Поддержка муниципальных программ, направленных на развитие малого и среднего предпринимательства»</t>
  </si>
  <si>
    <t>031 00 00 000</t>
  </si>
  <si>
    <t>Основное мероприятие "Обеспечение доступности для субъектов малого и среднего предпринимательства информационно-консультационной поддержки ведения предпринимательской деятельности"</t>
  </si>
  <si>
    <t>031 88 00 000</t>
  </si>
  <si>
    <t>Cофинансирование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</si>
  <si>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031 88 40 020</t>
  </si>
  <si>
    <t>Подпрограмма "Развитие внутреннего и въездного туризма на территории Томской области"</t>
  </si>
  <si>
    <t>Основное мероприятие "Создание условий для развития туристской деятельности и поддержка развития приоритетных направлений туризма"</t>
  </si>
  <si>
    <t>102 82 S0 690</t>
  </si>
  <si>
    <t>Предоставление субсидий федеральным бюджетным, автономным учреждениям и иным некоммерческим организациям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</si>
  <si>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</si>
  <si>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Подпрограмма "Стимулирование развития жилищного строительства в Томской области"</t>
  </si>
  <si>
    <t>133 00 00 000</t>
  </si>
  <si>
    <t>Основное мероприятие "Реализация документов территориального планирования муниципальных образований Томской области"</t>
  </si>
  <si>
    <t>133 94 00 000</t>
  </si>
  <si>
    <t>Подготовка документации по планировке и межеванию территорий населенных пунктов Томской области</t>
  </si>
  <si>
    <t>133 94 S0 810</t>
  </si>
  <si>
    <t>Подготовка цифровых топографических планов для выполнения документации по планировке территорий населенных пунктов Томской области</t>
  </si>
  <si>
    <t>133 94 S0 860</t>
  </si>
  <si>
    <t xml:space="preserve">Основное мероприятие "Создание условий для вовлечения в оборот земель сельскохозяйственного назначения"
</t>
  </si>
  <si>
    <t>061 92 00 000</t>
  </si>
  <si>
    <t xml:space="preserve">Проведение кадастровых работ по оформлению земельных участков в собственность муниципальных образований
</t>
  </si>
  <si>
    <t>061 92 40 230</t>
  </si>
  <si>
    <t>Реализация государственных функций в области национальной экономики</t>
  </si>
  <si>
    <t>340 00 00 000</t>
  </si>
  <si>
    <t>Мероприятия по землеустройству и землепользованию</t>
  </si>
  <si>
    <t>340 03 00 000</t>
  </si>
  <si>
    <t>Проведение кадастровых работ по оформлению земельных участков в собственность</t>
  </si>
  <si>
    <t>340 03 00 001</t>
  </si>
  <si>
    <t>Софинансирование мероприятий по землеустройству и землепользованию из районного бюджета</t>
  </si>
  <si>
    <t>340 03 S0 000</t>
  </si>
  <si>
    <t>Проведение кадастровых работ по оформлению земельных участков в собственность муниципальных образований (РБ)</t>
  </si>
  <si>
    <t>340 03 S0 230</t>
  </si>
  <si>
    <t>Софинансирование расходов по подготовке цифровых топографических планов для выполнения документации по планировке территорий населенных пунктов Томской области из районного бюджета</t>
  </si>
  <si>
    <t>340 03 S0 860</t>
  </si>
  <si>
    <t>Муниципальная программа "Развитие малого и среднего  предпринимательства в Шегарском районе" на период 2018-2020гг."</t>
  </si>
  <si>
    <t>Софинансирование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</si>
  <si>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795 03 S0 020</t>
  </si>
  <si>
    <t>Муниципальная программа "Развитие туризма на территории Шегарского района на 2017-2020 годы"</t>
  </si>
  <si>
    <t>795 13 00 000</t>
  </si>
  <si>
    <t>Софинансирование субсидии бюджетам муниципальных образований на реализацию проектов, отобранных по итогам конкурса проектов</t>
  </si>
  <si>
    <t>Жилищно-коммунальное хозяйство</t>
  </si>
  <si>
    <t>0500</t>
  </si>
  <si>
    <t>Жилищное хозяйство</t>
  </si>
  <si>
    <t>0501</t>
  </si>
  <si>
    <t>Государственная программа "Обеспечение доступности жилья и улучшение качества жилищных условий населения Томской области "</t>
  </si>
  <si>
    <t>Подпрограмма "Обеспечение доступности и комфортности жилища, формирование качественной жилой среды"</t>
  </si>
  <si>
    <t>134 00 00 000</t>
  </si>
  <si>
    <t>Ведомственная целевая программа "Создание условий для управления многоквартирными домами в муниципальных образованиях Томской области"</t>
  </si>
  <si>
    <t>134 62 00 000</t>
  </si>
  <si>
    <t>Создание условий для управления многоквартирными домами в муниципальных образованиях Томской области</t>
  </si>
  <si>
    <t>134 62 S0 850</t>
  </si>
  <si>
    <t>Поддержка жилищного хозяйства</t>
  </si>
  <si>
    <t>390 00 00 000</t>
  </si>
  <si>
    <t>Мероприятия в области жилищного фонда</t>
  </si>
  <si>
    <t>390 03 00 000</t>
  </si>
  <si>
    <t>Софинансирование расходов по приобретению жилого помещения (жилой дом и земельный участок) в собственность МО «Шегарский район» для включения в состав специализированного жилищного фонда</t>
  </si>
  <si>
    <t>390 03 S0 000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</si>
  <si>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</si>
  <si>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</si>
  <si>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</si>
  <si>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</si>
  <si>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из них приобретение жилого помещения (жилой дом и земельный участок) в собственность МО «Шегарский район» для включения в состав специализированного жилищного фонда</t>
  </si>
  <si>
    <t>990 02 00 000</t>
  </si>
  <si>
    <t>Коммунальное хозяйство</t>
  </si>
  <si>
    <t>0502</t>
  </si>
  <si>
    <t>Государственная программа "Повышение энергоэффективности в Томской области"</t>
  </si>
  <si>
    <t>170 00 00 000</t>
  </si>
  <si>
    <t>Подпрограмма "Повышение уровня развития газоснабжения и газификации Томской области на 2015 - 2020 годы"</t>
  </si>
  <si>
    <t>173 00 00 000</t>
  </si>
  <si>
    <t>Основное мероприятие "Обеспечение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области"</t>
  </si>
  <si>
    <t>173 84 00 000</t>
  </si>
  <si>
    <t>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</t>
  </si>
  <si>
    <t>173 84 SИ 000</t>
  </si>
  <si>
    <t>в т.ч.газоснабжение с.Вороновка Шегарского района Томской области</t>
  </si>
  <si>
    <t>Государственная программа "Развитие коммунальной и коммуникационной инфраструктуры в Томской области"</t>
  </si>
  <si>
    <t>190 00 00 000</t>
  </si>
  <si>
    <t>Подпрограмма "Развитие и модернизация коммунальной инфраструктуры Томской области"</t>
  </si>
  <si>
    <t>191 00 00 000</t>
  </si>
  <si>
    <t>Основное мероприятие "Снижение количества аварий в системах отопления, водоснабжения и водоотведения коммунального комплекса Томской области"</t>
  </si>
  <si>
    <t>191 80 00 000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</si>
  <si>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</si>
  <si>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191 80 40 910</t>
  </si>
  <si>
    <t xml:space="preserve">Государственная программа "Улучшение инвестиционного климата и развитие экспорта Томской области"
</t>
  </si>
  <si>
    <t xml:space="preserve">Подпрограмма "Баланс экономических интересов потребителей и поставщиков на регулируемых рынках товаров и услуг"
</t>
  </si>
  <si>
    <t>014 00 00 000</t>
  </si>
  <si>
    <t xml:space="preserve">Ведомственная целевая программа "Оказание содействия отдельным муниципальным образованиям Томской области по обеспечению соблюдения баланса экономических интересов потребителей и поставщиков топливно-энергетических ресурсов"
</t>
  </si>
  <si>
    <t>014 64 00 000</t>
  </si>
  <si>
    <t xml:space="preserve">Компенсация местным бюджетам сверхнормативных расходов и выпадающих доходов ресурсоснабжающих организаций
</t>
  </si>
  <si>
    <t>014 64 40 030</t>
  </si>
  <si>
    <t>Мероприятия в области коммунального хозяйства</t>
  </si>
  <si>
    <t xml:space="preserve">391 00 00 000 </t>
  </si>
  <si>
    <t>Поддержка коммунального хозяйства</t>
  </si>
  <si>
    <t>391 05 00 000</t>
  </si>
  <si>
    <t>Приобретение коммунальной техники</t>
  </si>
  <si>
    <t>391 05 01 003</t>
  </si>
  <si>
    <t>391 05 01 001</t>
  </si>
  <si>
    <t>Экспертиза проектно-сметной документации в сфере коммунального хозяйства</t>
  </si>
  <si>
    <t>391 05 01 002</t>
  </si>
  <si>
    <t>Софинансирование мероприятий в области коммунального хозяйства из районного бюджета</t>
  </si>
  <si>
    <t>391 05 S0 000</t>
  </si>
  <si>
    <t>Компенсация сверхнормативных расходов и выпадающих доходов ресурсоснабжающих организаций</t>
  </si>
  <si>
    <t>391 05 S0 030</t>
  </si>
  <si>
    <t>Софинансирование разработки (приобретения) проектно-сметной документации в области коммунального хозяйства</t>
  </si>
  <si>
    <t>391 05 SП 000</t>
  </si>
  <si>
    <t>391 05 SП 920</t>
  </si>
  <si>
    <t>в т.ч. реконструкция водозабора и станции водоподготовки в с.Мельниково, строительство водовода от станции водоподготовки до мкр.Сельхозхимия с.Мельниково Шегарского района Томской области(ПСД)</t>
  </si>
  <si>
    <t>Муниципальная программа "Развитие коммунальной инфраструктуры муниципального образования "Шегарский район" на 2018-2020 годы"</t>
  </si>
  <si>
    <t>795 14 00 000</t>
  </si>
  <si>
    <t>Софинансирование расходов в области коммунального хозяйства из районного бюджета</t>
  </si>
  <si>
    <t>795 14 S0 000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</si>
  <si>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 (РБ)</t>
  </si>
  <si>
    <t>795 14 S0 910</t>
  </si>
  <si>
    <t>Муниципальная программа "Газификация Шегарского района на период 2015-2017гг."</t>
  </si>
  <si>
    <t>Софинансирование капитальных вложений в объекты государственной (муниципальной) собственности</t>
  </si>
  <si>
    <t>795 14 SИ 000</t>
  </si>
  <si>
    <t>в т.ч. газоснабжение с.Вороновка Шегарского района Томской области</t>
  </si>
  <si>
    <t>Благоустройство</t>
  </si>
  <si>
    <t>0503</t>
  </si>
  <si>
    <t>Государственная программа «Обращение с отходами, в том числе с твердыми коммунальными отходами, на территории Томской области»</t>
  </si>
  <si>
    <t>260 00 00 000</t>
  </si>
  <si>
    <t>Подпрограмма «Создание комплексной системы обращения с твердыми коммунальными отходами»</t>
  </si>
  <si>
    <t>261 00 00 000</t>
  </si>
  <si>
    <t>Основное мероприятие «Создание инфраструктуры по накоплению и размещению твердых коммунальных отходов»</t>
  </si>
  <si>
    <t>261 80 00 000</t>
  </si>
  <si>
    <t>Создание мест (площадок) накопления твердых коммунальных отходов</t>
  </si>
  <si>
    <t>261 80 40 090</t>
  </si>
  <si>
    <t>Приведение муниципальных полигонов твердых коммунальных отходов в соответствие с действующим законодательством</t>
  </si>
  <si>
    <t>261 80 40 180</t>
  </si>
  <si>
    <t>Муниципальная программа "Охрана окружающей среды на 2018-2020 годы"</t>
  </si>
  <si>
    <t>795 15 00 000</t>
  </si>
  <si>
    <t>Софинансирование расходов на создание инфраструктуры по накоплению и размещению твердых коммунальных отходов из районного бюджета</t>
  </si>
  <si>
    <t>795 15 S0 000</t>
  </si>
  <si>
    <t>Создание мест (площадок) накопления твердых коммунальных отходов (РБ)</t>
  </si>
  <si>
    <t>795 15 S0 090</t>
  </si>
  <si>
    <t>Приведение муниципальных полигонов твердых коммунальных отходов в соответствие с действующим законодательством (РБ)</t>
  </si>
  <si>
    <t>795 15 S0 180</t>
  </si>
  <si>
    <t xml:space="preserve">Охрана окружающей среды
</t>
  </si>
  <si>
    <t>0600</t>
  </si>
  <si>
    <t xml:space="preserve">Другие вопросы в области охраны окружающей среды
</t>
  </si>
  <si>
    <t>0605</t>
  </si>
  <si>
    <t xml:space="preserve">Государственная программа "Обращение с отходами, в том числе с твердыми коммунальными отходами, на территории Томской области"
</t>
  </si>
  <si>
    <t xml:space="preserve">Подпрограмма "Создание комплексной системы обращения с твердыми коммунальными отходами"
</t>
  </si>
  <si>
    <t xml:space="preserve">Основное мероприятие "Создание инфраструктуры по накоплению и размещению твердых коммунальных отходов"
</t>
  </si>
  <si>
    <t>Ликвидация мест несанкционированного складирования отходов</t>
  </si>
  <si>
    <t>261 80 40 190</t>
  </si>
  <si>
    <t>Ликвидация мест несанкционированного складирования отходов (РБ)</t>
  </si>
  <si>
    <t>795 15 S0 190</t>
  </si>
  <si>
    <t>Иные закупки товаров, работ и услуг для обеспечения государственных (муниципальных) нужд из районного бюджета</t>
  </si>
  <si>
    <t>Образование</t>
  </si>
  <si>
    <t>0700</t>
  </si>
  <si>
    <t>Дошкольное образование</t>
  </si>
  <si>
    <t>0701</t>
  </si>
  <si>
    <t xml:space="preserve">Государственная программа "Развитие образования в Томской области"
</t>
  </si>
  <si>
    <t>090 00 00 000</t>
  </si>
  <si>
    <t xml:space="preserve">Проектная часть государственной программы
</t>
  </si>
  <si>
    <t>09W 00 00 000</t>
  </si>
  <si>
    <t xml:space="preserve">Региональный проект "Содействие занятости женщин - создание условий дошкольного образования детей в возрасте до трех лет"
</t>
  </si>
  <si>
    <t>09W P2 00 000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</si>
  <si>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</si>
  <si>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09W P2 52 320</t>
  </si>
  <si>
    <t>в т.ч. здание для размещения дошкольной образовательной организации на 145 мест в Шегарском районе</t>
  </si>
  <si>
    <t>Муниципальная программа "Развитие образования в Шегарском районе на 2020-2024 годы"</t>
  </si>
  <si>
    <t>Софинансирование расходов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образованияиз районного бюджета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</si>
  <si>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(РБ)</t>
  </si>
  <si>
    <t>795 01 00 000</t>
  </si>
  <si>
    <t xml:space="preserve">795 P2 S0 000 </t>
  </si>
  <si>
    <t>795 P2 S2 320</t>
  </si>
  <si>
    <t>Учреждения по внешкольной работе с детьми</t>
  </si>
  <si>
    <t>0703</t>
  </si>
  <si>
    <t>423 00 00 000</t>
  </si>
  <si>
    <t>423 99 00 000</t>
  </si>
  <si>
    <t>Молодежная политика и оздоровление детей</t>
  </si>
  <si>
    <t>0707</t>
  </si>
  <si>
    <t>Муниципальная программа "Развитие молодежной политики в муниципальном образовании "Шегарский район" на 2020-2022 годы"</t>
  </si>
  <si>
    <t>795 11 00 000</t>
  </si>
  <si>
    <t>Субсидии автономным учреджениям на иные цели</t>
  </si>
  <si>
    <t>Культура, кинематография</t>
  </si>
  <si>
    <t>0800</t>
  </si>
  <si>
    <t>Культура</t>
  </si>
  <si>
    <t>0801</t>
  </si>
  <si>
    <t>Ведомственная целевая программа «Развитие профессионального искусства и народного творчества»</t>
  </si>
  <si>
    <t>101 64 00 000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</si>
  <si>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</t>
  </si>
  <si>
    <t>101 64 40 650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</si>
  <si>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</si>
  <si>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101 64 40 660</t>
  </si>
  <si>
    <t>Основное мероприятие "Содействие комплексному развитию сферы культуры и архивного дела муниципальных образований Томской области"</t>
  </si>
  <si>
    <t>101 93 00 000</t>
  </si>
  <si>
    <t>Поддержка отрасли культуры</t>
  </si>
  <si>
    <t>101 93 L5 190</t>
  </si>
  <si>
    <t>Учреждения культуры и мероприятия в сфере культуры и кинематографии</t>
  </si>
  <si>
    <t>440 00 00 000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</si>
  <si>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</si>
  <si>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440 02 00</t>
  </si>
  <si>
    <t>Прочая закупка товаров, работ и услуг для муниципальных нужд</t>
  </si>
  <si>
    <t>244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</si>
  <si>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</si>
  <si>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440 09 00</t>
  </si>
  <si>
    <t>Закупка товаров, работ, услуг в сфере информационно-коммуникационных технологий</t>
  </si>
  <si>
    <t>242</t>
  </si>
  <si>
    <t>440 99 00 000</t>
  </si>
  <si>
    <t>Субсидии автономным учреждениям на иные цели</t>
  </si>
  <si>
    <t>440 99 00</t>
  </si>
  <si>
    <t>622</t>
  </si>
  <si>
    <t>Музеи и постоянные выставки</t>
  </si>
  <si>
    <t>441 00 00 000</t>
  </si>
  <si>
    <t>441 99 00 000</t>
  </si>
  <si>
    <t>Библиотеки</t>
  </si>
  <si>
    <t>442 00 00 000</t>
  </si>
  <si>
    <t>442 99 00 000</t>
  </si>
  <si>
    <t>Софинансирование поддержки отрасли культуры</t>
  </si>
  <si>
    <t>442 99 L5 190</t>
  </si>
  <si>
    <t>Муниципальная программа "Развитие культуры на период 2020-2022гг."</t>
  </si>
  <si>
    <t>795 18 00 000</t>
  </si>
  <si>
    <t>Прочие МБТ общего характера из резевных фондов Администрации Томской области</t>
  </si>
  <si>
    <t>Мероприятия по укреплению материально-технической базы учреждения</t>
  </si>
  <si>
    <t>990 02 00 001</t>
  </si>
  <si>
    <t>Социальная политика</t>
  </si>
  <si>
    <t>1000</t>
  </si>
  <si>
    <t>Социальное обеспечение населения</t>
  </si>
  <si>
    <t>1003</t>
  </si>
  <si>
    <t>Государственная программа «Комплексное развитие сельских территорий Томской области»</t>
  </si>
  <si>
    <t>270 00 00 000</t>
  </si>
  <si>
    <t>Подпрограмма «Создание условий комплексного развития сельских территорий»</t>
  </si>
  <si>
    <t>271 00 00 000</t>
  </si>
  <si>
    <t>Основное мероприятие «Развитие жилищного строительства на сельских территориях и повышение уровня благоустройства домовладений»</t>
  </si>
  <si>
    <t>271 92 00 000</t>
  </si>
  <si>
    <t xml:space="preserve">Обеспечение комплексного развития сельских территорий
</t>
  </si>
  <si>
    <t>271 92 45 760</t>
  </si>
  <si>
    <t>271 92 L5 760</t>
  </si>
  <si>
    <t>Муниципальная программа "Комплексное развитие сельских территорий Шегарского района""</t>
  </si>
  <si>
    <t>Софиннасирование расходов по комплексному развитию развитие сельских территорий Шегарского района из районного бюджета</t>
  </si>
  <si>
    <t>Расходы по обеспечению комплексного развития сельских территорий в рамках муниципальной программы "Комплексное развитие сельских территорий Шегарского района" (РБ)</t>
  </si>
  <si>
    <t>320</t>
  </si>
  <si>
    <t>Муниципальная программа "Комплексное развитие сельских территорий Шегарского района"</t>
  </si>
  <si>
    <t>795 02 00 000</t>
  </si>
  <si>
    <t>Реализация мероприятий муниципальной программы "Комплексное развитие сельских территорий Шегарского района"</t>
  </si>
  <si>
    <t>Софиннасирование расходов в рамках муниципальной программы "Комплексное развитие сельских территорий Шегарского района"</t>
  </si>
  <si>
    <t>795 02 S5 760</t>
  </si>
  <si>
    <t>Охрана семьи и детства</t>
  </si>
  <si>
    <t>1004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</si>
  <si>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</si>
  <si>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114 68 40 750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</si>
  <si>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</si>
  <si>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114 68 40 760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</si>
  <si>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</si>
  <si>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114 68 40 770</t>
  </si>
  <si>
    <t>Публичные нормативные социальные выплаты гражданам</t>
  </si>
  <si>
    <t>Основное мероприятие "Осуществление переданных органам государственной власти субъектов Российской Федерации в соответствии с пунктом 3 статьи 25 Федерального закона от 24 июня 1999 года N 120-ФЗ "Об основах системы профилактики безнадзорности и правонарушений несовершеннолетних" полномочий Российской Федерации по осуществлению деятельности, связанной с перевозкой между субъектами Российской Федерации, а также в пределах территорий государств - участников Содружества Независимых Государств несовершеннолетних, самовольно ушедших из семей, организаций для детей-сирот и детей, оставшихся без попечения родителей, образовательных организаций и иных организаций"</t>
  </si>
  <si>
    <t>114 90 00 000</t>
  </si>
  <si>
    <t xml:space="preserve">Основное мероприятие "Выплата единовременного пособия при всех формах устройства детей, лишенных родительского попечения, в семью"
</t>
  </si>
  <si>
    <t>114 91 00 000</t>
  </si>
  <si>
    <t xml:space="preserve">Выплата единовременного пособия при всех формах устройства детей, лишенных родительского попечения, в семью
</t>
  </si>
  <si>
    <t>114 91 52 600</t>
  </si>
  <si>
    <t>Физическая культура и спорт</t>
  </si>
  <si>
    <t>1100</t>
  </si>
  <si>
    <t>Физическая культура</t>
  </si>
  <si>
    <t>1101</t>
  </si>
  <si>
    <t>из низ физкультурно-спортивный комплекс с универсальным игровым залом 36*21м в с.Мельниково Шегарского района Томской области</t>
  </si>
  <si>
    <t>Государственная программа «Развитие молодежной политики, физической культуры и спорта в Томской области»</t>
  </si>
  <si>
    <t>080 00 00 000</t>
  </si>
  <si>
    <t>Проектная часть государственной программы</t>
  </si>
  <si>
    <t>08W 00 00 000</t>
  </si>
  <si>
    <t>Региональный проект «Спорт - норма жизни»</t>
  </si>
  <si>
    <t>08W P5 00 000</t>
  </si>
  <si>
    <t>Обеспечение условий для развития физической культуры и массового спорта</t>
  </si>
  <si>
    <t>08W P5 40 008</t>
  </si>
  <si>
    <t>Государственная программа "Комплексное развитие сельских территорий Томской области</t>
  </si>
  <si>
    <t xml:space="preserve">Подпрограмма "Создание условий комплексного развития сельских территорий
</t>
  </si>
  <si>
    <t xml:space="preserve">Основное мероприятие "Современный облик сельских территорий"
</t>
  </si>
  <si>
    <t>271 97 00 000</t>
  </si>
  <si>
    <t>271 97 L5 760</t>
  </si>
  <si>
    <t>Физкультурно-спортивный комплекс с универсальным игровым залом 36х21м в с.Мельниково Шегарского района Томской области</t>
  </si>
  <si>
    <t>Расходы по обеспечению комплексного развития сельских территорий в рамках муниципальной программы "Комплексное развитие сельских территорий Шегарского района"" (РБ)</t>
  </si>
  <si>
    <t>Физкультурно-оздоровительная работа и спортивные мероприятия</t>
  </si>
  <si>
    <t>512 00 00 000</t>
  </si>
  <si>
    <t>512 97 00 000</t>
  </si>
  <si>
    <t>Приведение спортивных объектов в надлежащее состояние</t>
  </si>
  <si>
    <t>512 98 00 000</t>
  </si>
  <si>
    <t>1102</t>
  </si>
  <si>
    <t>Спорт высших достижений</t>
  </si>
  <si>
    <t>1103</t>
  </si>
  <si>
    <t>Государственная программа "Развитие молодежной политики, физической культуры и спорта в Томской области"</t>
  </si>
  <si>
    <t>Подпрограмма "Развитие спорта высших достижений и системы подготовки спортивного резерва"</t>
  </si>
  <si>
    <t>082 00 00 000</t>
  </si>
  <si>
    <t>Ведомственная целевая программа "Совершенствование системы подготовки спортсменов высокого класса и создание условий, направленных на увеличение числа перспективных спортсменов"</t>
  </si>
  <si>
    <t>082 61 00 000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</si>
  <si>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- закрытое административно-территориальное образование Северск Томской области", муниципального образования "Томский район"</t>
  </si>
  <si>
    <t>082 61 40 320</t>
  </si>
  <si>
    <t>Софинансирование расходов по участию спортивных сборных команд района в официальных региональных спортивных, физкультурных мероприятиях из местного бюджета</t>
  </si>
  <si>
    <t>512 97  S0 320</t>
  </si>
  <si>
    <t>Муниципальная программа"Развитие физической культуры, спорта и формирование здорового образа жизни населения Шегарского района на  2020-2022 годы"</t>
  </si>
  <si>
    <t>795 19 00 000</t>
  </si>
  <si>
    <t>Софинансирование региональных проектов в области спорта</t>
  </si>
  <si>
    <t>795 P5 S0 000</t>
  </si>
  <si>
    <t>Обеспечение условий для развития физической культуры и массового спорта (РБ)</t>
  </si>
  <si>
    <t>795 P5 S0 008</t>
  </si>
  <si>
    <t>Массовый спорт</t>
  </si>
  <si>
    <t>512 Р5 00 000</t>
  </si>
  <si>
    <t>Софинансирование расходов на обеспечение условий для развития физической культуры и массового спорта из районного бюджета</t>
  </si>
  <si>
    <t>512 Р5 S0 008</t>
  </si>
  <si>
    <t>Муниципальное казенное учреждение "Отдел образования Администрации Шегарского района"</t>
  </si>
  <si>
    <t>903</t>
  </si>
  <si>
    <t>Возврат в областной бюджет использованной не по целевому назначению субсидии на создание дополнительных мест в действующих образовательных организациях</t>
  </si>
  <si>
    <t>092 03 05 600</t>
  </si>
  <si>
    <t>Школы – детские сады, школы начальные, неполные средние и средние</t>
  </si>
  <si>
    <t>421 00 00 000</t>
  </si>
  <si>
    <t>421 99 00 000</t>
  </si>
  <si>
    <t>Государственная программа "Развитие образования в Томской области"</t>
  </si>
  <si>
    <t>Подпрограмма "Развитие дошкольного, общего и дополнительного образования в Томской области"</t>
  </si>
  <si>
    <t>091 00 00 000</t>
  </si>
  <si>
    <t>Ведомственная целевая программа «Обеспечение получения дошкольного, начального общего, основного общего, среднего общего образования, создание условий для дополнительного образования детей, содействие развитию системы общего образования и дополнительного образования детей, в том числе кадрового потенциала»</t>
  </si>
  <si>
    <t>091 60 00 000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</si>
  <si>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</t>
  </si>
  <si>
    <t>091 60 40 360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</si>
  <si>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</si>
  <si>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091 60 40 370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</si>
  <si>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</si>
  <si>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091 60 40 380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</si>
  <si>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дошкольных образовательных организаций</t>
  </si>
  <si>
    <t>091 60 40 390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</si>
  <si>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</si>
  <si>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091 60 40 470</t>
  </si>
  <si>
    <t>091 60 S0 360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</si>
  <si>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</si>
  <si>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091 63 00 000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</si>
  <si>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</si>
  <si>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091 60 40 530</t>
  </si>
  <si>
    <t>Детские дошкольные учреждения</t>
  </si>
  <si>
    <t>420 00 00 000</t>
  </si>
  <si>
    <t>420 99 00 000</t>
  </si>
  <si>
    <t>Муниципальная программа "Развитие образования в Шегарском районе на 2015-2019 годы"</t>
  </si>
  <si>
    <t>Общее образование</t>
  </si>
  <si>
    <t>0702</t>
  </si>
  <si>
    <t>Субсидии на 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</si>
  <si>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091 60 40 410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</si>
  <si>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</si>
  <si>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091 60 40 420</t>
  </si>
  <si>
    <t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</t>
  </si>
  <si>
    <t>091 60 40 440</t>
  </si>
  <si>
    <t>Стимулирующие выплаты за высокие результаты и качество выполняемых работ в муниципальных общеобразовательных организациях</t>
  </si>
  <si>
    <t>091 60 40 450</t>
  </si>
  <si>
    <t>92 60 40 450</t>
  </si>
  <si>
    <t>93 60 40 450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</si>
  <si>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общеобразовательных организаций</t>
  </si>
  <si>
    <t>091 60 40 460</t>
  </si>
  <si>
    <t>Создание условий для поэтапного введения федеральных государственных образовательных стандартов</t>
  </si>
  <si>
    <t>091 60 40 970</t>
  </si>
  <si>
    <t>Стипендии Губернатора Томской области лучшим учителям муниципальных образовательных организаций Томской области</t>
  </si>
  <si>
    <t>091 63 40 510</t>
  </si>
  <si>
    <t>Стипендии</t>
  </si>
  <si>
    <t>340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</si>
  <si>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</si>
  <si>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091 60 40 520</t>
  </si>
  <si>
    <t>091 63 40 520</t>
  </si>
  <si>
    <t>091 63 40 530</t>
  </si>
  <si>
    <t>Приобретение учебно-методических комплектов в 2020 году для поэтапного введения федеральных государственных образовательных стандартов</t>
  </si>
  <si>
    <t>091 60 40 570</t>
  </si>
  <si>
    <t>Основное мероприятие "Обеспечение выплат за счет средств федерального бюджета ежемесячного денежного вознаграждения за классное руководство педагогическим работникам государственных и муниципальных общеобразовательных организаций"</t>
  </si>
  <si>
    <t>091 90 00 000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</si>
  <si>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</si>
  <si>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091 90 L3 030</t>
  </si>
  <si>
    <t>091 90 R3 030</t>
  </si>
  <si>
    <t>Основное мероприятие "Обеспечение бесплатным горячим питанием отдельных категорий обучающихся в государственных и муниципальных образовательных организациях"</t>
  </si>
  <si>
    <t>091 97 00 000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</si>
  <si>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</si>
  <si>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091 97 L3 041</t>
  </si>
  <si>
    <t>Региональный проект "Цифровая образовательная среда"</t>
  </si>
  <si>
    <t>091 Е4 00 000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</si>
  <si>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</si>
  <si>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091 Е4 52 100</t>
  </si>
  <si>
    <t>Внедрение и функционирование целевой модели цифровой образовательной среды в общеобразовательных организациях</t>
  </si>
  <si>
    <t>091 Е4 52 101</t>
  </si>
  <si>
    <t>Подпрограмма "Развитие инфраструктуры дошкольного, общего и дополнительного образования в Томской области"</t>
  </si>
  <si>
    <t xml:space="preserve">Основное мероприятие "Сохранение действующих мест в образовательных организациях (за исключением затрат на капитальное строительство)"
</t>
  </si>
  <si>
    <t>092 80 00 000</t>
  </si>
  <si>
    <t xml:space="preserve">Капитальный ремонт муниципальных объектов недвижимого имущества (включая разработку проектной документации)
</t>
  </si>
  <si>
    <t>092 80 40 620</t>
  </si>
  <si>
    <t>Основное мероприятие "Улучшение материально-технического обеспечения организаций дошкольного, общего и дополнительного образования в Томской области"</t>
  </si>
  <si>
    <t>092 86 00 000</t>
  </si>
  <si>
    <t>Оснащение устройствами видеофиксации автобусов для перевозки обучающихся в муниципальные общеобразовательные организации</t>
  </si>
  <si>
    <t>092 86 40 350</t>
  </si>
  <si>
    <t>Приобретение автотранспортных средств в муниципальные общеобразовательные организации</t>
  </si>
  <si>
    <t>092 86 40 960</t>
  </si>
  <si>
    <t xml:space="preserve">Региональный проект "Современная школа"
</t>
  </si>
  <si>
    <t>09W E1 00 000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</si>
  <si>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</si>
  <si>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09W E1 51 690</t>
  </si>
  <si>
    <t xml:space="preserve">Региональный проект "Успех каждого ребенка"
</t>
  </si>
  <si>
    <t>09W E2 00 000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</si>
  <si>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</si>
  <si>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09W E2 50 970</t>
  </si>
  <si>
    <t xml:space="preserve">Региональный проект "Цифровая образовательная среда"
</t>
  </si>
  <si>
    <t>09W E4 00 000</t>
  </si>
  <si>
    <t>Внедрение и функционирование целевой модели цифровой образовательной среды в муниципальных общеобразовательных организациях</t>
  </si>
  <si>
    <t>09W E4 41 900</t>
  </si>
  <si>
    <t xml:space="preserve">Внедрение целевой модели цифровой образовательной среды в общеобразовательных организациях и профессиональных образовательных организациях
</t>
  </si>
  <si>
    <t>09W E4 52 100</t>
  </si>
  <si>
    <t xml:space="preserve">Внедрение и функционирование целевой модели цифровой образовательной среды в общеобразовательных организациях
</t>
  </si>
  <si>
    <t>09W E4 52 102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</si>
  <si>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</si>
  <si>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114 68 40 740</t>
  </si>
  <si>
    <t>122 62 40 740</t>
  </si>
  <si>
    <t>310</t>
  </si>
  <si>
    <t>Софинансирование расходов в области образования из районного бюджета</t>
  </si>
  <si>
    <t>421 99 S0 000</t>
  </si>
  <si>
    <t>Капитальный ремонт муниципальных объектов недвижимого имущества (включая разработку проектной документации)</t>
  </si>
  <si>
    <t>421 99 S0 620</t>
  </si>
  <si>
    <t>350</t>
  </si>
  <si>
    <t>Софинансирование в рамках муниципальной программы "Развитие образования в Шегарском районе на 2020-2024 годы"</t>
  </si>
  <si>
    <t>795 01 S0 000</t>
  </si>
  <si>
    <t>Частичная оплата стоимости питания отдельных категорий обучающихся (РБ)</t>
  </si>
  <si>
    <t>795 01 S0 440</t>
  </si>
  <si>
    <t>Обеспечение антитеррористической защиты объектов образования (РБ)</t>
  </si>
  <si>
    <t>795 01 S0 560</t>
  </si>
  <si>
    <t>Капитальный ремонт муниципальных объектов недвижимого имущества (включая разработку проектной документации) (РБ)</t>
  </si>
  <si>
    <t>795 01 S0 620</t>
  </si>
  <si>
    <t>Приобретение автотранспортных средств в муниципальные общеобразовательные организации (РБ)</t>
  </si>
  <si>
    <t>795 01 S0 960</t>
  </si>
  <si>
    <t>Дополнительное образование детей</t>
  </si>
  <si>
    <t>082 61 S0 320</t>
  </si>
  <si>
    <t>Стимулирующие выплаты в муниципальных организациях дополнительного образования Томской области</t>
  </si>
  <si>
    <t>091 60 40 400</t>
  </si>
  <si>
    <t>091 60 S0 400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</si>
  <si>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</t>
  </si>
  <si>
    <t>Региональный проект "Успех каждого ребенка"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</si>
  <si>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</si>
  <si>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09W E2 54 910</t>
  </si>
  <si>
    <t>423 99 S0 320</t>
  </si>
  <si>
    <t>Муниципальная программа "Повышение обеспечения безопасности людей на водных объектах Шегарсокго района на период 2018-2020 годов"</t>
  </si>
  <si>
    <t>Муниципальная программа "Доступная среда на период 2017-2020 годов"</t>
  </si>
  <si>
    <t>Молодежная политика</t>
  </si>
  <si>
    <t>Награждение победителей в конкурсе "Лучший воспитатель, лучший вожатый"</t>
  </si>
  <si>
    <t>092 03 05 904</t>
  </si>
  <si>
    <t>Основное мероприятие «Повышение качества услуг в сфере отдыха и оздоровления детей»</t>
  </si>
  <si>
    <t>114 92 00 000</t>
  </si>
  <si>
    <t>Организация отдыха детей в каникулярное время</t>
  </si>
  <si>
    <t>114 92 40 790</t>
  </si>
  <si>
    <t>123 81 40 790</t>
  </si>
  <si>
    <t>Софинансирование в рамках МП "Развитие образования в Шегарском районе на 2020-2024 годы"</t>
  </si>
  <si>
    <t>Организация отдыха детей в каникулярное время (РБ)</t>
  </si>
  <si>
    <t>795 01 S0 790</t>
  </si>
  <si>
    <t>Муниципальная программа "Развитие молодежной политики в муниципальном образовании "Шегарский район" на 2017-2019 годы"</t>
  </si>
  <si>
    <t>Другие вопросы в области образования</t>
  </si>
  <si>
    <t>0709</t>
  </si>
  <si>
    <t>Прочие выплаты</t>
  </si>
  <si>
    <t>0700500</t>
  </si>
  <si>
    <t>013</t>
  </si>
  <si>
    <t>Прочая закупка товаров, работ и услуг для государственных нужд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</si>
  <si>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</si>
  <si>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002 04 00</t>
  </si>
  <si>
    <t>Основное мероприятие "Модернизация системы дошкольного, общего и дополнительного образования в Томской области"</t>
  </si>
  <si>
    <t>091 80 00 000</t>
  </si>
  <si>
    <t>Реализация в муниципальных образовательных организациях мероприятий, направленных на предупреждение распространения новой коронавирусной инфекции на территории Томской области</t>
  </si>
  <si>
    <t>091 80 41 020</t>
  </si>
  <si>
    <t>Основное мероприятие "Улучшение материально-технического обеспечения образовательных организаций общего и дополнительного образования в Томской области"</t>
  </si>
  <si>
    <t>Обеспечение антитеррористической защиты объектов образования,выполнение мероприятий противодействия деструктивным идеологиям,модернизация систем противопожарной защиты</t>
  </si>
  <si>
    <t>092 86 40 560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</si>
  <si>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</t>
  </si>
  <si>
    <t>08W P5 40 006</t>
  </si>
  <si>
    <t>Оснащение объектов спортивной инфраструктуры спортивно-технологическим оборудованием</t>
  </si>
  <si>
    <t>08W P5 52 280</t>
  </si>
  <si>
    <t>Муниципальная программа "Развитие физической культуры, спорта и формирование здорового образа жизни населения Шегарского района на  2020-2022 годы"</t>
  </si>
  <si>
    <t xml:space="preserve">Софинансирование расходов в рамках муниципальной программы  "Развитие физической культуры, спорта и формирование здорового образа жизни населения Шегарского района на  2020-2022 годы" </t>
  </si>
  <si>
    <t>Оснащение объектов спортивной инфраструктуры спортивно-технологическим оборудованием (РБ)</t>
  </si>
  <si>
    <t xml:space="preserve">Устройство малобюджетных спортивных площадок </t>
  </si>
  <si>
    <t>512 97 S0 310</t>
  </si>
  <si>
    <t>Приобретение оборудования для малобюджетных спортивных площадок по месту жительства и учебы (РБ)</t>
  </si>
  <si>
    <t>795 P5 S0 006</t>
  </si>
  <si>
    <t>Подпрограмма «Развитие массового спорта, спорта высших достижений и системы подготовки спортивного резерва»</t>
  </si>
  <si>
    <t>081 00 00 000</t>
  </si>
  <si>
    <t>Основное мероприятие «Обеспечение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</si>
  <si>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081 86 00 000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</si>
  <si>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</si>
  <si>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081 86 40 320</t>
  </si>
  <si>
    <t>Приобретение спортивного инвентаря и оборудования для спортивных школ</t>
  </si>
  <si>
    <t>082 Р5 00 002</t>
  </si>
  <si>
    <t>795 19 S0 000</t>
  </si>
  <si>
    <t>795 19 S0 320</t>
  </si>
  <si>
    <t>Софинансирование расходов по приобретению спортивного инвентаря и оборудования для спортивных школ из местного бюджета</t>
  </si>
  <si>
    <t>423 99 S0 360</t>
  </si>
  <si>
    <t>Проведение выборов Главы муниципального образования</t>
  </si>
  <si>
    <t>020 00 03</t>
  </si>
  <si>
    <t>Избирательная комиссия Шегарского района</t>
  </si>
  <si>
    <t>Муниципальное казенное учреждение "Управление финансов Администрации Шегарского района"</t>
  </si>
  <si>
    <t>992</t>
  </si>
  <si>
    <r>
      <t xml:space="preserve">Обеспечение выполнения функций аппарата </t>
    </r>
    <r>
      <rPr>
        <b/>
        <i/>
        <sz val="12"/>
        <rFont val="Times New Roman CYR"/>
        <charset val="204"/>
      </rPr>
      <t>финансового органа</t>
    </r>
  </si>
  <si>
    <t>002 04 91 000</t>
  </si>
  <si>
    <t>0111</t>
  </si>
  <si>
    <t>Казначейское обслуживание бюджета</t>
  </si>
  <si>
    <t>Средства, зарезервированные в составе районного бюджета на финансовое обеспечение мероприятий, связанных с предотвращением влияния ухудшения экономической ситуации на развитие отраслей экономики в связи с пандемией коронавируса</t>
  </si>
  <si>
    <t>092 03 05 700</t>
  </si>
  <si>
    <t>Условно утверждённые расходы</t>
  </si>
  <si>
    <t>092 03 05 800</t>
  </si>
  <si>
    <t xml:space="preserve">Мобилизационная и вневойсковая подготовка
</t>
  </si>
  <si>
    <t>0203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</si>
  <si>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</si>
  <si>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210 00 00 000</t>
  </si>
  <si>
    <t>Подпрограмма "Совершенствование межбюджетных отношений в Томской области"</t>
  </si>
  <si>
    <t>212 00 00 000</t>
  </si>
  <si>
    <t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отсутствуют военные комиссариаты"</t>
  </si>
  <si>
    <t>212 81 00 000</t>
  </si>
  <si>
    <t>Осуществление первичного воинского учета на территориях, где отсутствуют военные комиссариаты</t>
  </si>
  <si>
    <t>212 81 51 180</t>
  </si>
  <si>
    <t>Межбюджетные трансферты</t>
  </si>
  <si>
    <t>Субвенции</t>
  </si>
  <si>
    <t>530</t>
  </si>
  <si>
    <t xml:space="preserve">Национальная безопасность и правоохранительная деятельность </t>
  </si>
  <si>
    <t>Иные межбюджетные трансферты</t>
  </si>
  <si>
    <t>540</t>
  </si>
  <si>
    <t>Государственная программа "Развитие сельского хозяйства и регулируемых рынков в Томской области"</t>
  </si>
  <si>
    <t>Подпрограмма "Устойчивое развитие сельских территорий Томской области до 2020 года"</t>
  </si>
  <si>
    <t>062 00 00 000</t>
  </si>
  <si>
    <t>Ведомственная целевая программа "Кадровое, консультационное и информационное обеспечение агропромышленного комплекса"</t>
  </si>
  <si>
    <t>062 68 00 000</t>
  </si>
  <si>
    <t>Премирование муниципальных образований Томской области - победителей областного конкурса в агропромышленном комплексе Томской области</t>
  </si>
  <si>
    <t>062 68 40 150</t>
  </si>
  <si>
    <t>Основное мероприятие "Грантовая поддержка местных инициатив граждан, проживающих в сельской местности"</t>
  </si>
  <si>
    <t>062 85 00 000</t>
  </si>
  <si>
    <t>Обеспечение устойчивого развития сельских территорий</t>
  </si>
  <si>
    <t>062 85 45 670</t>
  </si>
  <si>
    <t>062 85 L5 670</t>
  </si>
  <si>
    <t>Иные безвозмездные и безвозвратные перечисления</t>
  </si>
  <si>
    <t>520 00 00 000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</si>
  <si>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</si>
  <si>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520 15 00 000</t>
  </si>
  <si>
    <t>Иной межбюджетный трансферт на ремонт объектов социальной сферы (капитальный ремонт электропроводки в помещении дома культуры с.Бабарыкино Шегарского района Томской области)</t>
  </si>
  <si>
    <t>520 15 03 000</t>
  </si>
  <si>
    <t>Иной межбюджетный трансферт на ремонт тротуара по ул.Ленина от жилого дома №40 до жилого дома №44 в с.Мельниково</t>
  </si>
  <si>
    <t>520 15 11 000</t>
  </si>
  <si>
    <t>Софинансирование расходов на ремонт дорог из районного бюджета</t>
  </si>
  <si>
    <t>520 15 24 000</t>
  </si>
  <si>
    <t>Капитальный ремонт и (или) ремонт автомобильных дорог общего пользования местного значения
в рамках муниципальной программы "Развитие автомобильных дорог общего пользования местного значения на территории Шегарского района на период 2018-2020гг."</t>
  </si>
  <si>
    <t>Софинансирование расходов по реконструкции автомобильной дороги подъезда к с.Вороновка в Шегарском районе Томской области</t>
  </si>
  <si>
    <t>795 07 SИ 800</t>
  </si>
  <si>
    <t>Софинансирование расходов по подготовке документации по планировке и межеванию территорий населенных пунктов Томской области из районного бюджета</t>
  </si>
  <si>
    <t>340 03 S0 810</t>
  </si>
  <si>
    <t>Подпрограмма «Обеспечение доступности и комфортности жилища, формирование качественной жилой среды»</t>
  </si>
  <si>
    <t>Ведомственная целевая программа «Создание условий для управления многоквартирными домами в муниципальных образованиях Томской области»</t>
  </si>
  <si>
    <t>134 62 40 850</t>
  </si>
  <si>
    <t>Иной межбюджетный трансферт на расселение граждан из аварийного жилья, проживающих в многоквартирном жилом доме по адресу: Томская область, Шегарский район, с.Мельниково, ул. Школьная 53а</t>
  </si>
  <si>
    <t>520 15 12 000</t>
  </si>
  <si>
    <t>Основное мероприятие "Развитие водоснабжения в сельской местности"</t>
  </si>
  <si>
    <t>062 90 00 000</t>
  </si>
  <si>
    <t>Реализация мероприятий по устойчивому развитию сельских территорий</t>
  </si>
  <si>
    <t>062 90 45 670</t>
  </si>
  <si>
    <t>в том числе Подведение инженерных сетей к микрорайону "Западный" в  селе Мельниково Шегарского района Томской области</t>
  </si>
  <si>
    <t>062 90 L5 670</t>
  </si>
  <si>
    <t>Мероприятия по обеспечению населения Томской области чистой питьевой водой</t>
  </si>
  <si>
    <t>191 80 S0 950</t>
  </si>
  <si>
    <t xml:space="preserve">Иной межбюджетный трансферт на разработку проектно-сметной документации разведочной эксплуатационной скажины для целей водоснабжения с.М-Брагино </t>
  </si>
  <si>
    <t>520 15 04 000</t>
  </si>
  <si>
    <t>Иной межбюджетный трансферт на разработку и экспертизу проектной документации «Строительство канализационных очистных сооружений мощностью 500м.куб./сут. в с.Мельниково Шегарского района Томской области»</t>
  </si>
  <si>
    <t>Иной межбюджетный трансферт на тна исполнение предписания Ростехнадзора в рамках подготовки котельных к отопительному периоду</t>
  </si>
  <si>
    <t>520 15 18 000</t>
  </si>
  <si>
    <t>Иной межбюджетный трансферт на ремонт объектов коммунального хозяйства (на ремонт наземной тепловой сети в роще Шегарской СОШ №1 )</t>
  </si>
  <si>
    <t>520 15 19 000</t>
  </si>
  <si>
    <t>Иной межбюджетный трансферт на ремонт объектов коммунального хозяйства (на ремонт тепловых сетей с.Мельниково )</t>
  </si>
  <si>
    <t>520 15 20 000</t>
  </si>
  <si>
    <t>Государственная программа "Воспроизводство и использование природных ресурсов Томской области"</t>
  </si>
  <si>
    <t>150 00 00 000</t>
  </si>
  <si>
    <t>Подпрограмма "Регулирование качества окружающей среды на территории Томской области"</t>
  </si>
  <si>
    <t>151 00 00 000</t>
  </si>
  <si>
    <t>Основное мероприятие "Развитие инфраструктуры по обращению с твердыми коммунальными отходами"</t>
  </si>
  <si>
    <t>151 91 00 000</t>
  </si>
  <si>
    <t>Субсидии на создание мест (площадок) накопления твердых бытовых отходов</t>
  </si>
  <si>
    <t>151 91 40 100</t>
  </si>
  <si>
    <t>Государственная программа "Жилье и городская среда Томской области"</t>
  </si>
  <si>
    <t>13W 00 00 000</t>
  </si>
  <si>
    <t>Региональный проект "Формирование комфортной городской среды"</t>
  </si>
  <si>
    <t>13W F2 00 000</t>
  </si>
  <si>
    <t>Реализация программ формирования современной городской среды</t>
  </si>
  <si>
    <t>13W F2 55 550</t>
  </si>
  <si>
    <t>Муниципальная программа "Формирование современной городской среды на территории муниципального образования "Шегарский район" на 2018-2022 годы"</t>
  </si>
  <si>
    <t>Реализация программ формирования современной городской среды (РБ)</t>
  </si>
  <si>
    <t>Софинансирование расходов на создание мест (площадок) накопления твердых бытовых отходов из местного бюджета</t>
  </si>
  <si>
    <t>795 15 S0 100</t>
  </si>
  <si>
    <t>795 17 00 000</t>
  </si>
  <si>
    <t>Иной межбюджетный трансферт на благоустройство мемориальных комплексов в рамках подготовки к 75-летию Победы</t>
  </si>
  <si>
    <t>92</t>
  </si>
  <si>
    <t>Школы - детские сады, школы начальные,неполные средние и средние</t>
  </si>
  <si>
    <t>421 00 00</t>
  </si>
  <si>
    <t>421 99 00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</si>
  <si>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«Жителю блокадного Ленинграда»;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</si>
  <si>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111 60 40 710</t>
  </si>
  <si>
    <t>111 89 R0 820</t>
  </si>
  <si>
    <t>122 80 L0 820</t>
  </si>
  <si>
    <t>990 03 00 000</t>
  </si>
  <si>
    <t>МБТ на исполнение судебных актов</t>
  </si>
  <si>
    <t>990 03 00 001</t>
  </si>
  <si>
    <t>Проведение ремонта объектов социальной сферы (устройство резиновой плитки на спортивной площадке с.Баткат)</t>
  </si>
  <si>
    <t>512 98 00 001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</si>
  <si>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</si>
  <si>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</si>
  <si>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</si>
  <si>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</si>
  <si>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Обслуживание муниципального долга</t>
  </si>
  <si>
    <t>Обслуживание государственного (муниципального) долга</t>
  </si>
  <si>
    <t>700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</si>
  <si>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</si>
  <si>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</si>
  <si>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</si>
  <si>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</si>
  <si>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</si>
  <si>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Государственная программа "Эффективное управление региональными финансами и совершенствование межбюджетных отношений в Томской области"</t>
  </si>
  <si>
    <t>Ведомственная целевая программа "Создание условий для обеспечения равных финансовых возможностей  муниципальных образований по решению вопросов местного значения"</t>
  </si>
  <si>
    <t>212 65 00 000</t>
  </si>
  <si>
    <t>Осуществление отдельных государственных полномочий по расчету и предоставлению дотаций бюджетам городских, сельских поселениий Томской области за счет средств областного бюджета</t>
  </si>
  <si>
    <t>212 65 40 М70</t>
  </si>
  <si>
    <t>Дотации</t>
  </si>
  <si>
    <t>510</t>
  </si>
  <si>
    <t>Выравнивание бюджетной обеспеченности</t>
  </si>
  <si>
    <t>516 00 00 000</t>
  </si>
  <si>
    <t>516 01 00 000</t>
  </si>
  <si>
    <t xml:space="preserve">Выравнивание бюджетной обеспеченности поселений из районного фонда финансовой поддержки </t>
  </si>
  <si>
    <t>516 01 10 000</t>
  </si>
  <si>
    <t>Прочие межбюджетные трансферты общего характера</t>
  </si>
  <si>
    <t>1403</t>
  </si>
  <si>
    <t>Иной межбюджетный трансферт на поддержание мер по обеспечению сбалансированности и платежеспособности бюджетов сельских поселений</t>
  </si>
  <si>
    <t>520 15 01 000</t>
  </si>
  <si>
    <t>Иной межбюджетный трансферт на укрепление материально-технической базы</t>
  </si>
  <si>
    <t>520 15 02 000</t>
  </si>
  <si>
    <t>Иной межбюджетный трансферт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</si>
  <si>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520 15 20 300</t>
  </si>
  <si>
    <t>Иной межбюджетный трансферт на проведение кадастровых работ по подготовке карт границ (планов) населенных пунктов</t>
  </si>
  <si>
    <t>520 15 05 000</t>
  </si>
  <si>
    <t>Иной межбюджетный трансферт на уплату налога на имущество организаций за 2017г.</t>
  </si>
  <si>
    <t>520 15 07 000</t>
  </si>
  <si>
    <t>Иной межбюджетный трансферт на межевание земельных участков</t>
  </si>
  <si>
    <t>520 15 08 000</t>
  </si>
  <si>
    <t>Иной межбюджетный трансферт наремонт стены жилого дома по адресу:с.Мельниково, пер.Западный,2</t>
  </si>
  <si>
    <t>520 15 09 000</t>
  </si>
  <si>
    <t>Иные межбюджетные трансферты на внесение изменений в Генеральный план сельских поселений</t>
  </si>
  <si>
    <t>520 15 13 000</t>
  </si>
  <si>
    <t>Иной межбюджетный трансферт на  капитальный ремонт административного здания</t>
  </si>
  <si>
    <t>520 15 15 000</t>
  </si>
  <si>
    <t xml:space="preserve">Иные межбюджетные трансферты на текущий ремонт помещений дома культуры по адресу: Томская область, Шегарский район, с. Баткат, пер. Кооперативный,1 </t>
  </si>
  <si>
    <t>520 15 16 000</t>
  </si>
  <si>
    <t>Иные межбюджетные трансферты на текущий ремонт наружной стены здания дома культуры в с. Маркелово</t>
  </si>
  <si>
    <t>520 15 17 000</t>
  </si>
  <si>
    <t>Иной МБТ на устройство водопроводного ввода по адресу: с.Бабарыкино, ул.Зеленая, 5 (многодетной семье Магерт В.В.)</t>
  </si>
  <si>
    <t>520 15 23 000</t>
  </si>
  <si>
    <t>Иные межбюджетные трансферты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</si>
  <si>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Иной межбюджетный трансферт на устройство водопроводного ввода в дом культуры пос.Победа</t>
  </si>
  <si>
    <t>520 15 21 000</t>
  </si>
  <si>
    <t>Иной межбюджетный трансферт на реализацию мероприятий муниципальной программы  "Повышение обеспечения пожарной безопасности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</si>
  <si>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 обеспечения безопасности людей на водных объектах Шегарского района на период 2018-2020 годов"</t>
  </si>
  <si>
    <t>Иной межбюджетный трансферт на реализацию мероприятий муниципальной программы "Профилактика правонарушений и наркомании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</si>
  <si>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безопасности дорожного движения на территории Шегарского района на период 2018-2020 годов"</t>
  </si>
  <si>
    <t>Иной межбюджетный трансферт на реализацию мероприятий муниципальной программы "Профилактика террористической и экстремистской деятельности на территории Шегарского района на период 2018-2020 годов"</t>
  </si>
  <si>
    <t xml:space="preserve">Отчет о расходах бюджета по ведомственной структуре расходов бюджета  района за 9 месяцев 2020 года </t>
  </si>
  <si>
    <t>Наименование</t>
  </si>
  <si>
    <t>Вед</t>
  </si>
  <si>
    <t>РзПР</t>
  </si>
  <si>
    <t>ЦСР</t>
  </si>
  <si>
    <t>ВР</t>
  </si>
  <si>
    <t>% исполнения</t>
  </si>
  <si>
    <t>Сумма год</t>
  </si>
  <si>
    <t>Исполнение на 01.10.2020</t>
  </si>
  <si>
    <t>Приложение 2
к постановлению Администрации Шегарского района                  
от 22.10.2020  № 950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</si>
</sst>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0.0%"/>
  </numFmts>
  <fonts count="4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3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color rgb="FFFF0000"/>
      <name val="Arial Cyr"/>
      <charset val="204"/>
    </font>
    <font>
      <sz val="10"/>
      <name val="Helv"/>
    </font>
    <font>
      <b/>
      <sz val="14"/>
      <name val="Times New Roman Cyr"/>
      <family val="1"/>
      <charset val="204"/>
    </font>
    <font>
      <sz val="13"/>
      <name val="Times New Roman CYR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b/>
      <sz val="10"/>
      <color rgb="FFFF0000"/>
      <name val="Arial Cyr"/>
      <charset val="204"/>
    </font>
    <font>
      <b/>
      <sz val="10"/>
      <name val="Arial Cyr"/>
      <charset val="204"/>
    </font>
    <font>
      <sz val="12"/>
      <name val="Times New Roman CYR"/>
      <charset val="204"/>
    </font>
    <font>
      <b/>
      <i/>
      <sz val="12"/>
      <name val="Times New Roman CYR"/>
      <charset val="204"/>
    </font>
    <font>
      <b/>
      <i/>
      <sz val="12"/>
      <name val="Times New Roman CYR"/>
      <family val="1"/>
      <charset val="204"/>
    </font>
    <font>
      <sz val="12"/>
      <color rgb="FFFF0000"/>
      <name val="Times New Roman CYR"/>
      <charset val="204"/>
    </font>
    <font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0"/>
      <color rgb="FFFF0000"/>
      <name val="Arial Cyr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0"/>
      <name val="Arial Cyr"/>
      <charset val="204"/>
    </font>
    <font>
      <i/>
      <sz val="11"/>
      <name val="Arial Cyr"/>
      <charset val="204"/>
    </font>
    <font>
      <i/>
      <sz val="10"/>
      <color rgb="FFFF0000"/>
      <name val="Arial Cyr"/>
      <charset val="204"/>
    </font>
    <font>
      <i/>
      <sz val="11"/>
      <name val="Times New Roman CYR"/>
      <charset val="204"/>
    </font>
    <font>
      <i/>
      <sz val="11"/>
      <name val="Times New Roman CYR"/>
      <family val="1"/>
      <charset val="204"/>
    </font>
    <font>
      <b/>
      <sz val="12"/>
      <name val="Arial Cyr"/>
      <charset val="204"/>
    </font>
    <font>
      <sz val="12"/>
      <name val="Arial Cyr"/>
      <charset val="204"/>
    </font>
    <font>
      <sz val="10"/>
      <name val="Times New Roman CYR"/>
      <charset val="204"/>
    </font>
    <font>
      <i/>
      <sz val="10"/>
      <name val="Times New Roman Cyr"/>
      <family val="1"/>
      <charset val="204"/>
    </font>
    <font>
      <sz val="10"/>
      <name val="Times New Roman CYR"/>
      <family val="1"/>
      <charset val="204"/>
    </font>
    <font>
      <sz val="1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6" fillId="0" borderId="0"/>
    <xf numFmtId="0" fontId="1" fillId="0" borderId="0"/>
  </cellStyleXfs>
  <cellXfs count="276">
    <xf numFmtId="0" fontId="0" fillId="0" borderId="0" xfId="0"/>
    <xf numFmtId="0" fontId="3" fillId="0" borderId="0" xfId="0" applyFont="1" applyFill="1" applyAlignment="1">
      <alignment horizontal="center" vertical="top" wrapText="1"/>
    </xf>
    <xf numFmtId="0" fontId="0" fillId="0" borderId="0" xfId="0" applyFont="1" applyFill="1"/>
    <xf numFmtId="0" fontId="4" fillId="2" borderId="0" xfId="0" applyFont="1" applyFill="1" applyAlignment="1">
      <alignment wrapText="1"/>
    </xf>
    <xf numFmtId="0" fontId="5" fillId="0" borderId="0" xfId="0" applyFont="1" applyFill="1"/>
    <xf numFmtId="0" fontId="2" fillId="0" borderId="0" xfId="0" applyFont="1" applyFill="1"/>
    <xf numFmtId="0" fontId="4" fillId="2" borderId="0" xfId="0" applyFont="1" applyFill="1" applyAlignment="1">
      <alignment horizontal="right" wrapText="1"/>
    </xf>
    <xf numFmtId="14" fontId="4" fillId="2" borderId="0" xfId="0" applyNumberFormat="1" applyFont="1" applyFill="1" applyAlignment="1">
      <alignment horizontal="right" wrapText="1"/>
    </xf>
    <xf numFmtId="0" fontId="5" fillId="0" borderId="0" xfId="0" applyFont="1" applyFill="1" applyBorder="1"/>
    <xf numFmtId="0" fontId="2" fillId="0" borderId="0" xfId="0" applyFont="1" applyFill="1" applyBorder="1"/>
    <xf numFmtId="0" fontId="7" fillId="0" borderId="0" xfId="1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top" wrapText="1"/>
    </xf>
    <xf numFmtId="49" fontId="9" fillId="0" borderId="2" xfId="0" applyNumberFormat="1" applyFont="1" applyFill="1" applyBorder="1" applyAlignment="1">
      <alignment horizontal="left" vertical="top" wrapText="1"/>
    </xf>
    <xf numFmtId="49" fontId="9" fillId="0" borderId="2" xfId="0" applyNumberFormat="1" applyFont="1" applyFill="1" applyBorder="1" applyAlignment="1">
      <alignment horizontal="center" vertical="top" wrapText="1"/>
    </xf>
    <xf numFmtId="164" fontId="9" fillId="0" borderId="2" xfId="0" applyNumberFormat="1" applyFont="1" applyFill="1" applyBorder="1" applyAlignment="1">
      <alignment horizontal="right" vertical="top" wrapText="1"/>
    </xf>
    <xf numFmtId="4" fontId="5" fillId="0" borderId="0" xfId="0" applyNumberFormat="1" applyFont="1" applyFill="1"/>
    <xf numFmtId="49" fontId="9" fillId="3" borderId="2" xfId="0" applyNumberFormat="1" applyFont="1" applyFill="1" applyBorder="1" applyAlignment="1">
      <alignment horizontal="left" vertical="top" wrapText="1"/>
    </xf>
    <xf numFmtId="49" fontId="9" fillId="3" borderId="2" xfId="0" applyNumberFormat="1" applyFont="1" applyFill="1" applyBorder="1" applyAlignment="1">
      <alignment horizontal="center" vertical="top" wrapText="1"/>
    </xf>
    <xf numFmtId="164" fontId="9" fillId="3" borderId="2" xfId="0" applyNumberFormat="1" applyFont="1" applyFill="1" applyBorder="1" applyAlignment="1">
      <alignment horizontal="right" vertical="top" wrapText="1"/>
    </xf>
    <xf numFmtId="0" fontId="5" fillId="3" borderId="0" xfId="0" applyFont="1" applyFill="1"/>
    <xf numFmtId="0" fontId="2" fillId="3" borderId="0" xfId="0" applyFont="1" applyFill="1"/>
    <xf numFmtId="49" fontId="10" fillId="0" borderId="2" xfId="0" applyNumberFormat="1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center" vertical="top" wrapText="1"/>
    </xf>
    <xf numFmtId="164" fontId="10" fillId="0" borderId="2" xfId="0" applyNumberFormat="1" applyFont="1" applyFill="1" applyBorder="1" applyAlignment="1">
      <alignment horizontal="right" vertical="top" wrapText="1"/>
    </xf>
    <xf numFmtId="0" fontId="11" fillId="4" borderId="0" xfId="0" applyFont="1" applyFill="1"/>
    <xf numFmtId="0" fontId="11" fillId="0" borderId="0" xfId="0" applyFont="1" applyFill="1"/>
    <xf numFmtId="0" fontId="12" fillId="0" borderId="0" xfId="0" applyFont="1" applyFill="1"/>
    <xf numFmtId="164" fontId="13" fillId="0" borderId="2" xfId="0" applyNumberFormat="1" applyFont="1" applyFill="1" applyBorder="1" applyAlignment="1">
      <alignment horizontal="right" vertical="top" wrapText="1"/>
    </xf>
    <xf numFmtId="49" fontId="13" fillId="0" borderId="2" xfId="0" applyNumberFormat="1" applyFont="1" applyFill="1" applyBorder="1" applyAlignment="1">
      <alignment horizontal="left" vertical="top" wrapText="1"/>
    </xf>
    <xf numFmtId="49" fontId="4" fillId="0" borderId="2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49" fontId="14" fillId="0" borderId="2" xfId="0" applyNumberFormat="1" applyFont="1" applyFill="1" applyBorder="1" applyAlignment="1">
      <alignment horizontal="left" vertical="top" wrapText="1"/>
    </xf>
    <xf numFmtId="49" fontId="15" fillId="0" borderId="2" xfId="0" applyNumberFormat="1" applyFont="1" applyFill="1" applyBorder="1" applyAlignment="1">
      <alignment horizontal="center" vertical="top" wrapText="1"/>
    </xf>
    <xf numFmtId="164" fontId="14" fillId="0" borderId="2" xfId="0" applyNumberFormat="1" applyFont="1" applyFill="1" applyBorder="1" applyAlignment="1">
      <alignment horizontal="right" vertical="top" wrapText="1"/>
    </xf>
    <xf numFmtId="49" fontId="4" fillId="0" borderId="2" xfId="0" applyNumberFormat="1" applyFont="1" applyFill="1" applyBorder="1" applyAlignment="1">
      <alignment horizontal="left" vertical="top" wrapText="1"/>
    </xf>
    <xf numFmtId="164" fontId="16" fillId="0" borderId="4" xfId="0" applyNumberFormat="1" applyFont="1" applyFill="1" applyBorder="1" applyAlignment="1">
      <alignment horizontal="right" vertical="top" wrapText="1"/>
    </xf>
    <xf numFmtId="49" fontId="17" fillId="0" borderId="2" xfId="0" applyNumberFormat="1" applyFont="1" applyFill="1" applyBorder="1" applyAlignment="1">
      <alignment horizontal="left" vertical="center" wrapText="1"/>
    </xf>
    <xf numFmtId="49" fontId="18" fillId="0" borderId="2" xfId="0" applyNumberFormat="1" applyFont="1" applyFill="1" applyBorder="1" applyAlignment="1">
      <alignment vertical="top" wrapText="1"/>
    </xf>
    <xf numFmtId="49" fontId="18" fillId="0" borderId="2" xfId="0" applyNumberFormat="1" applyFont="1" applyFill="1" applyBorder="1" applyAlignment="1">
      <alignment horizontal="center" vertical="top" wrapText="1"/>
    </xf>
    <xf numFmtId="0" fontId="15" fillId="0" borderId="2" xfId="0" applyFont="1" applyFill="1" applyBorder="1" applyAlignment="1">
      <alignment horizontal="center" vertical="top" wrapText="1"/>
    </xf>
    <xf numFmtId="164" fontId="19" fillId="0" borderId="2" xfId="0" applyNumberFormat="1" applyFont="1" applyFill="1" applyBorder="1" applyAlignment="1">
      <alignment horizontal="right" vertical="top" wrapText="1"/>
    </xf>
    <xf numFmtId="2" fontId="17" fillId="0" borderId="2" xfId="0" applyNumberFormat="1" applyFont="1" applyFill="1" applyBorder="1" applyAlignment="1">
      <alignment horizontal="left" vertical="center" wrapText="1"/>
    </xf>
    <xf numFmtId="0" fontId="20" fillId="0" borderId="0" xfId="0" applyFont="1" applyFill="1"/>
    <xf numFmtId="0" fontId="21" fillId="0" borderId="0" xfId="0" applyFont="1" applyFill="1"/>
    <xf numFmtId="0" fontId="20" fillId="3" borderId="0" xfId="0" applyFont="1" applyFill="1"/>
    <xf numFmtId="0" fontId="21" fillId="3" borderId="0" xfId="0" applyFont="1" applyFill="1"/>
    <xf numFmtId="164" fontId="10" fillId="4" borderId="2" xfId="0" applyNumberFormat="1" applyFont="1" applyFill="1" applyBorder="1" applyAlignment="1">
      <alignment horizontal="right" vertical="top" wrapText="1"/>
    </xf>
    <xf numFmtId="164" fontId="13" fillId="4" borderId="2" xfId="0" applyNumberFormat="1" applyFont="1" applyFill="1" applyBorder="1" applyAlignment="1">
      <alignment horizontal="right" vertical="top" wrapText="1"/>
    </xf>
    <xf numFmtId="164" fontId="14" fillId="4" borderId="2" xfId="0" applyNumberFormat="1" applyFont="1" applyFill="1" applyBorder="1" applyAlignment="1">
      <alignment horizontal="right" vertical="top" wrapText="1"/>
    </xf>
    <xf numFmtId="164" fontId="4" fillId="4" borderId="2" xfId="0" applyNumberFormat="1" applyFont="1" applyFill="1" applyBorder="1" applyAlignment="1">
      <alignment horizontal="right" vertical="top" wrapText="1"/>
    </xf>
    <xf numFmtId="49" fontId="22" fillId="4" borderId="2" xfId="0" applyNumberFormat="1" applyFont="1" applyFill="1" applyBorder="1" applyAlignment="1">
      <alignment horizontal="left" vertical="center" wrapText="1"/>
    </xf>
    <xf numFmtId="49" fontId="9" fillId="4" borderId="2" xfId="0" applyNumberFormat="1" applyFont="1" applyFill="1" applyBorder="1" applyAlignment="1">
      <alignment horizontal="center" vertical="top" wrapText="1"/>
    </xf>
    <xf numFmtId="0" fontId="9" fillId="4" borderId="2" xfId="0" applyFont="1" applyFill="1" applyBorder="1" applyAlignment="1">
      <alignment horizontal="center" vertical="top" wrapText="1"/>
    </xf>
    <xf numFmtId="0" fontId="5" fillId="4" borderId="0" xfId="0" applyFont="1" applyFill="1"/>
    <xf numFmtId="0" fontId="2" fillId="4" borderId="0" xfId="0" applyFont="1" applyFill="1"/>
    <xf numFmtId="2" fontId="17" fillId="4" borderId="2" xfId="0" applyNumberFormat="1" applyFont="1" applyFill="1" applyBorder="1" applyAlignment="1">
      <alignment horizontal="left" vertical="center" wrapText="1"/>
    </xf>
    <xf numFmtId="49" fontId="4" fillId="4" borderId="2" xfId="0" applyNumberFormat="1" applyFont="1" applyFill="1" applyBorder="1" applyAlignment="1">
      <alignment horizontal="center" vertical="top" wrapText="1"/>
    </xf>
    <xf numFmtId="0" fontId="4" fillId="4" borderId="2" xfId="0" applyFont="1" applyFill="1" applyBorder="1" applyAlignment="1">
      <alignment horizontal="center" vertical="top" wrapText="1"/>
    </xf>
    <xf numFmtId="0" fontId="12" fillId="4" borderId="0" xfId="0" applyFont="1" applyFill="1"/>
    <xf numFmtId="49" fontId="17" fillId="4" borderId="2" xfId="0" applyNumberFormat="1" applyFont="1" applyFill="1" applyBorder="1" applyAlignment="1">
      <alignment horizontal="left" vertical="center" wrapText="1"/>
    </xf>
    <xf numFmtId="0" fontId="17" fillId="4" borderId="2" xfId="0" applyNumberFormat="1" applyFont="1" applyFill="1" applyBorder="1" applyAlignment="1">
      <alignment horizontal="left" vertical="top" wrapText="1"/>
    </xf>
    <xf numFmtId="49" fontId="4" fillId="4" borderId="2" xfId="0" applyNumberFormat="1" applyFont="1" applyFill="1" applyBorder="1" applyAlignment="1">
      <alignment horizontal="left" vertical="top" wrapText="1"/>
    </xf>
    <xf numFmtId="49" fontId="9" fillId="4" borderId="2" xfId="0" applyNumberFormat="1" applyFont="1" applyFill="1" applyBorder="1" applyAlignment="1">
      <alignment horizontal="left" vertical="top" wrapText="1"/>
    </xf>
    <xf numFmtId="164" fontId="22" fillId="4" borderId="2" xfId="0" applyNumberFormat="1" applyFont="1" applyFill="1" applyBorder="1" applyAlignment="1">
      <alignment horizontal="right" vertical="top" wrapText="1"/>
    </xf>
    <xf numFmtId="164" fontId="17" fillId="4" borderId="2" xfId="0" applyNumberFormat="1" applyFont="1" applyFill="1" applyBorder="1" applyAlignment="1">
      <alignment horizontal="right" vertical="top"/>
    </xf>
    <xf numFmtId="49" fontId="18" fillId="4" borderId="2" xfId="0" applyNumberFormat="1" applyFont="1" applyFill="1" applyBorder="1" applyAlignment="1">
      <alignment horizontal="left" vertical="top" wrapText="1"/>
    </xf>
    <xf numFmtId="49" fontId="18" fillId="4" borderId="2" xfId="0" applyNumberFormat="1" applyFont="1" applyFill="1" applyBorder="1" applyAlignment="1">
      <alignment horizontal="center" vertical="top" wrapText="1"/>
    </xf>
    <xf numFmtId="164" fontId="23" fillId="4" borderId="2" xfId="0" applyNumberFormat="1" applyFont="1" applyFill="1" applyBorder="1" applyAlignment="1">
      <alignment horizontal="right" vertical="top"/>
    </xf>
    <xf numFmtId="2" fontId="22" fillId="4" borderId="2" xfId="0" applyNumberFormat="1" applyFont="1" applyFill="1" applyBorder="1" applyAlignment="1">
      <alignment horizontal="left" vertical="center" wrapText="1"/>
    </xf>
    <xf numFmtId="0" fontId="20" fillId="4" borderId="0" xfId="0" applyFont="1" applyFill="1"/>
    <xf numFmtId="0" fontId="21" fillId="4" borderId="0" xfId="0" applyFont="1" applyFill="1"/>
    <xf numFmtId="164" fontId="16" fillId="0" borderId="0" xfId="0" applyNumberFormat="1" applyFont="1" applyFill="1" applyBorder="1" applyAlignment="1">
      <alignment horizontal="right" vertical="top" wrapText="1"/>
    </xf>
    <xf numFmtId="49" fontId="15" fillId="0" borderId="2" xfId="0" applyNumberFormat="1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center" vertical="top"/>
    </xf>
    <xf numFmtId="0" fontId="15" fillId="0" borderId="2" xfId="0" applyFont="1" applyFill="1" applyBorder="1" applyAlignment="1">
      <alignment horizontal="center" vertical="top"/>
    </xf>
    <xf numFmtId="164" fontId="24" fillId="4" borderId="2" xfId="0" applyNumberFormat="1" applyFont="1" applyFill="1" applyBorder="1" applyAlignment="1">
      <alignment horizontal="right" vertical="top"/>
    </xf>
    <xf numFmtId="164" fontId="24" fillId="0" borderId="2" xfId="0" applyNumberFormat="1" applyFont="1" applyFill="1" applyBorder="1" applyAlignment="1">
      <alignment horizontal="right" vertical="top"/>
    </xf>
    <xf numFmtId="0" fontId="22" fillId="0" borderId="2" xfId="0" applyFont="1" applyFill="1" applyBorder="1" applyAlignment="1">
      <alignment vertical="top" wrapText="1"/>
    </xf>
    <xf numFmtId="164" fontId="22" fillId="0" borderId="2" xfId="0" applyNumberFormat="1" applyFont="1" applyFill="1" applyBorder="1" applyAlignment="1">
      <alignment horizontal="right" vertical="top" wrapText="1"/>
    </xf>
    <xf numFmtId="49" fontId="4" fillId="0" borderId="2" xfId="0" applyNumberFormat="1" applyFont="1" applyFill="1" applyBorder="1" applyAlignment="1">
      <alignment vertical="top" wrapText="1"/>
    </xf>
    <xf numFmtId="164" fontId="17" fillId="4" borderId="2" xfId="0" applyNumberFormat="1" applyFont="1" applyFill="1" applyBorder="1" applyAlignment="1">
      <alignment horizontal="right" vertical="top" wrapText="1"/>
    </xf>
    <xf numFmtId="164" fontId="17" fillId="0" borderId="2" xfId="0" applyNumberFormat="1" applyFont="1" applyFill="1" applyBorder="1" applyAlignment="1">
      <alignment horizontal="right" vertical="top" wrapText="1"/>
    </xf>
    <xf numFmtId="164" fontId="24" fillId="4" borderId="2" xfId="0" applyNumberFormat="1" applyFont="1" applyFill="1" applyBorder="1" applyAlignment="1">
      <alignment horizontal="right" vertical="top" wrapText="1"/>
    </xf>
    <xf numFmtId="49" fontId="18" fillId="0" borderId="2" xfId="0" applyNumberFormat="1" applyFont="1" applyFill="1" applyBorder="1" applyAlignment="1">
      <alignment horizontal="left" vertical="top" wrapText="1"/>
    </xf>
    <xf numFmtId="164" fontId="23" fillId="4" borderId="2" xfId="0" applyNumberFormat="1" applyFont="1" applyFill="1" applyBorder="1" applyAlignment="1">
      <alignment horizontal="right" vertical="top" wrapText="1"/>
    </xf>
    <xf numFmtId="164" fontId="23" fillId="0" borderId="2" xfId="0" applyNumberFormat="1" applyFont="1" applyFill="1" applyBorder="1" applyAlignment="1">
      <alignment horizontal="right" vertical="top" wrapText="1"/>
    </xf>
    <xf numFmtId="164" fontId="17" fillId="0" borderId="2" xfId="0" applyNumberFormat="1" applyFont="1" applyFill="1" applyBorder="1" applyAlignment="1">
      <alignment horizontal="right" vertical="top"/>
    </xf>
    <xf numFmtId="0" fontId="17" fillId="0" borderId="2" xfId="0" applyFont="1" applyFill="1" applyBorder="1" applyAlignment="1">
      <alignment vertical="top" wrapText="1"/>
    </xf>
    <xf numFmtId="2" fontId="22" fillId="0" borderId="2" xfId="0" applyNumberFormat="1" applyFont="1" applyFill="1" applyBorder="1" applyAlignment="1">
      <alignment horizontal="left" vertical="center" wrapText="1"/>
    </xf>
    <xf numFmtId="0" fontId="25" fillId="4" borderId="0" xfId="0" applyFont="1" applyFill="1"/>
    <xf numFmtId="49" fontId="10" fillId="2" borderId="2" xfId="0" applyNumberFormat="1" applyFont="1" applyFill="1" applyBorder="1" applyAlignment="1">
      <alignment horizontal="left" vertical="top" wrapText="1"/>
    </xf>
    <xf numFmtId="49" fontId="9" fillId="2" borderId="2" xfId="0" applyNumberFormat="1" applyFont="1" applyFill="1" applyBorder="1" applyAlignment="1">
      <alignment horizontal="center" vertical="top" wrapText="1"/>
    </xf>
    <xf numFmtId="0" fontId="9" fillId="2" borderId="2" xfId="0" applyFont="1" applyFill="1" applyBorder="1" applyAlignment="1">
      <alignment horizontal="center" vertical="top" wrapText="1"/>
    </xf>
    <xf numFmtId="164" fontId="10" fillId="2" borderId="2" xfId="0" applyNumberFormat="1" applyFont="1" applyFill="1" applyBorder="1" applyAlignment="1">
      <alignment horizontal="right" vertical="top" wrapText="1"/>
    </xf>
    <xf numFmtId="0" fontId="2" fillId="2" borderId="0" xfId="0" applyFont="1" applyFill="1"/>
    <xf numFmtId="164" fontId="13" fillId="2" borderId="2" xfId="0" applyNumberFormat="1" applyFont="1" applyFill="1" applyBorder="1" applyAlignment="1">
      <alignment horizontal="right" vertical="top" wrapText="1"/>
    </xf>
    <xf numFmtId="0" fontId="25" fillId="0" borderId="0" xfId="0" applyFont="1" applyFill="1"/>
    <xf numFmtId="49" fontId="17" fillId="2" borderId="2" xfId="0" applyNumberFormat="1" applyFont="1" applyFill="1" applyBorder="1" applyAlignment="1">
      <alignment horizontal="left" vertical="center" wrapText="1"/>
    </xf>
    <xf numFmtId="49" fontId="4" fillId="2" borderId="2" xfId="0" applyNumberFormat="1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top" wrapText="1"/>
    </xf>
    <xf numFmtId="0" fontId="21" fillId="2" borderId="0" xfId="0" applyFont="1" applyFill="1"/>
    <xf numFmtId="49" fontId="13" fillId="4" borderId="2" xfId="0" applyNumberFormat="1" applyFont="1" applyFill="1" applyBorder="1" applyAlignment="1">
      <alignment horizontal="left" vertical="top" wrapText="1"/>
    </xf>
    <xf numFmtId="164" fontId="4" fillId="0" borderId="2" xfId="0" applyNumberFormat="1" applyFont="1" applyFill="1" applyBorder="1" applyAlignment="1">
      <alignment horizontal="right" vertical="top" wrapText="1"/>
    </xf>
    <xf numFmtId="49" fontId="19" fillId="0" borderId="2" xfId="0" applyNumberFormat="1" applyFont="1" applyFill="1" applyBorder="1" applyAlignment="1">
      <alignment horizontal="left" vertical="top" wrapText="1"/>
    </xf>
    <xf numFmtId="0" fontId="18" fillId="0" borderId="2" xfId="0" applyFont="1" applyFill="1" applyBorder="1" applyAlignment="1">
      <alignment horizontal="center" vertical="top" wrapText="1"/>
    </xf>
    <xf numFmtId="49" fontId="18" fillId="2" borderId="2" xfId="0" applyNumberFormat="1" applyFont="1" applyFill="1" applyBorder="1" applyAlignment="1">
      <alignment horizontal="left" vertical="top" wrapText="1"/>
    </xf>
    <xf numFmtId="49" fontId="18" fillId="2" borderId="2" xfId="0" applyNumberFormat="1" applyFont="1" applyFill="1" applyBorder="1" applyAlignment="1">
      <alignment horizontal="center" vertical="top" wrapText="1"/>
    </xf>
    <xf numFmtId="0" fontId="18" fillId="2" borderId="2" xfId="0" applyFont="1" applyFill="1" applyBorder="1" applyAlignment="1">
      <alignment horizontal="center" vertical="top" wrapText="1"/>
    </xf>
    <xf numFmtId="164" fontId="19" fillId="2" borderId="2" xfId="0" applyNumberFormat="1" applyFont="1" applyFill="1" applyBorder="1" applyAlignment="1">
      <alignment horizontal="right" vertical="top" wrapText="1"/>
    </xf>
    <xf numFmtId="164" fontId="18" fillId="2" borderId="2" xfId="0" applyNumberFormat="1" applyFont="1" applyFill="1" applyBorder="1" applyAlignment="1">
      <alignment horizontal="right" vertical="top" wrapText="1"/>
    </xf>
    <xf numFmtId="49" fontId="13" fillId="2" borderId="2" xfId="0" applyNumberFormat="1" applyFont="1" applyFill="1" applyBorder="1" applyAlignment="1">
      <alignment horizontal="left" vertical="top" wrapText="1"/>
    </xf>
    <xf numFmtId="0" fontId="25" fillId="2" borderId="0" xfId="0" applyFont="1" applyFill="1"/>
    <xf numFmtId="164" fontId="4" fillId="2" borderId="2" xfId="0" applyNumberFormat="1" applyFont="1" applyFill="1" applyBorder="1" applyAlignment="1">
      <alignment horizontal="right" vertical="top" wrapText="1"/>
    </xf>
    <xf numFmtId="49" fontId="19" fillId="2" borderId="2" xfId="0" applyNumberFormat="1" applyFont="1" applyFill="1" applyBorder="1" applyAlignment="1">
      <alignment horizontal="left" vertical="top" wrapText="1"/>
    </xf>
    <xf numFmtId="0" fontId="12" fillId="2" borderId="0" xfId="0" applyFont="1" applyFill="1"/>
    <xf numFmtId="2" fontId="17" fillId="2" borderId="2" xfId="0" applyNumberFormat="1" applyFont="1" applyFill="1" applyBorder="1" applyAlignment="1">
      <alignment horizontal="left" vertical="center" wrapText="1"/>
    </xf>
    <xf numFmtId="2" fontId="23" fillId="2" borderId="2" xfId="0" applyNumberFormat="1" applyFont="1" applyFill="1" applyBorder="1" applyAlignment="1">
      <alignment horizontal="left" vertical="center" wrapText="1"/>
    </xf>
    <xf numFmtId="49" fontId="13" fillId="2" borderId="2" xfId="0" applyNumberFormat="1" applyFont="1" applyFill="1" applyBorder="1" applyAlignment="1">
      <alignment horizontal="center" vertical="top" wrapText="1"/>
    </xf>
    <xf numFmtId="49" fontId="14" fillId="4" borderId="2" xfId="0" applyNumberFormat="1" applyFont="1" applyFill="1" applyBorder="1" applyAlignment="1">
      <alignment horizontal="left" vertical="top" wrapText="1"/>
    </xf>
    <xf numFmtId="49" fontId="15" fillId="4" borderId="2" xfId="0" applyNumberFormat="1" applyFont="1" applyFill="1" applyBorder="1" applyAlignment="1">
      <alignment horizontal="center" vertical="top" wrapText="1"/>
    </xf>
    <xf numFmtId="0" fontId="15" fillId="4" borderId="2" xfId="0" applyFont="1" applyFill="1" applyBorder="1" applyAlignment="1">
      <alignment horizontal="center" vertical="top" wrapText="1"/>
    </xf>
    <xf numFmtId="0" fontId="0" fillId="0" borderId="0" xfId="0" applyFill="1"/>
    <xf numFmtId="0" fontId="5" fillId="2" borderId="0" xfId="0" applyFont="1" applyFill="1"/>
    <xf numFmtId="0" fontId="0" fillId="2" borderId="0" xfId="0" applyFill="1"/>
    <xf numFmtId="0" fontId="26" fillId="0" borderId="0" xfId="0" applyFont="1" applyFill="1"/>
    <xf numFmtId="49" fontId="10" fillId="4" borderId="2" xfId="0" applyNumberFormat="1" applyFont="1" applyFill="1" applyBorder="1" applyAlignment="1">
      <alignment horizontal="left" vertical="top" wrapText="1"/>
    </xf>
    <xf numFmtId="0" fontId="18" fillId="4" borderId="2" xfId="0" applyFont="1" applyFill="1" applyBorder="1" applyAlignment="1">
      <alignment horizontal="center" vertical="top" wrapText="1"/>
    </xf>
    <xf numFmtId="164" fontId="19" fillId="4" borderId="2" xfId="0" applyNumberFormat="1" applyFont="1" applyFill="1" applyBorder="1" applyAlignment="1">
      <alignment horizontal="right" vertical="top" wrapText="1"/>
    </xf>
    <xf numFmtId="0" fontId="21" fillId="4" borderId="0" xfId="0" applyFont="1" applyFill="1" applyAlignment="1">
      <alignment horizontal="left"/>
    </xf>
    <xf numFmtId="164" fontId="18" fillId="4" borderId="2" xfId="0" applyNumberFormat="1" applyFont="1" applyFill="1" applyBorder="1" applyAlignment="1">
      <alignment horizontal="right" vertical="top" wrapText="1"/>
    </xf>
    <xf numFmtId="0" fontId="20" fillId="4" borderId="0" xfId="0" applyFont="1" applyFill="1" applyAlignment="1">
      <alignment horizontal="left"/>
    </xf>
    <xf numFmtId="0" fontId="13" fillId="0" borderId="2" xfId="0" applyNumberFormat="1" applyFont="1" applyFill="1" applyBorder="1" applyAlignment="1">
      <alignment horizontal="left" vertical="top" wrapText="1"/>
    </xf>
    <xf numFmtId="0" fontId="15" fillId="0" borderId="2" xfId="0" applyFont="1" applyFill="1" applyBorder="1" applyAlignment="1">
      <alignment horizontal="left" vertical="top" wrapText="1"/>
    </xf>
    <xf numFmtId="2" fontId="24" fillId="0" borderId="2" xfId="0" applyNumberFormat="1" applyFont="1" applyFill="1" applyBorder="1" applyAlignment="1">
      <alignment horizontal="left" vertical="center" wrapText="1"/>
    </xf>
    <xf numFmtId="164" fontId="24" fillId="0" borderId="2" xfId="0" applyNumberFormat="1" applyFont="1" applyFill="1" applyBorder="1" applyAlignment="1">
      <alignment horizontal="right" vertical="top" wrapText="1"/>
    </xf>
    <xf numFmtId="164" fontId="22" fillId="2" borderId="2" xfId="0" applyNumberFormat="1" applyFont="1" applyFill="1" applyBorder="1" applyAlignment="1">
      <alignment horizontal="right" vertical="top" wrapText="1"/>
    </xf>
    <xf numFmtId="2" fontId="22" fillId="2" borderId="2" xfId="0" applyNumberFormat="1" applyFont="1" applyFill="1" applyBorder="1" applyAlignment="1">
      <alignment horizontal="left" vertical="center" wrapText="1"/>
    </xf>
    <xf numFmtId="0" fontId="17" fillId="4" borderId="2" xfId="0" applyFont="1" applyFill="1" applyBorder="1" applyAlignment="1">
      <alignment vertical="top" wrapText="1"/>
    </xf>
    <xf numFmtId="0" fontId="13" fillId="2" borderId="2" xfId="0" applyFont="1" applyFill="1" applyBorder="1" applyAlignment="1">
      <alignment horizontal="center" vertical="top" wrapText="1"/>
    </xf>
    <xf numFmtId="0" fontId="13" fillId="0" borderId="2" xfId="0" applyFont="1" applyFill="1" applyBorder="1" applyAlignment="1">
      <alignment horizontal="center" vertical="top" wrapText="1"/>
    </xf>
    <xf numFmtId="164" fontId="18" fillId="0" borderId="2" xfId="0" applyNumberFormat="1" applyFont="1" applyFill="1" applyBorder="1" applyAlignment="1">
      <alignment horizontal="right" vertical="top" wrapText="1"/>
    </xf>
    <xf numFmtId="49" fontId="14" fillId="2" borderId="2" xfId="0" applyNumberFormat="1" applyFont="1" applyFill="1" applyBorder="1" applyAlignment="1">
      <alignment horizontal="left" vertical="top" wrapText="1"/>
    </xf>
    <xf numFmtId="49" fontId="15" fillId="2" borderId="2" xfId="0" applyNumberFormat="1" applyFont="1" applyFill="1" applyBorder="1" applyAlignment="1">
      <alignment horizontal="center" vertical="top" wrapText="1"/>
    </xf>
    <xf numFmtId="164" fontId="24" fillId="2" borderId="2" xfId="0" applyNumberFormat="1" applyFont="1" applyFill="1" applyBorder="1" applyAlignment="1">
      <alignment horizontal="right" vertical="top"/>
    </xf>
    <xf numFmtId="49" fontId="9" fillId="2" borderId="2" xfId="0" applyNumberFormat="1" applyFont="1" applyFill="1" applyBorder="1" applyAlignment="1">
      <alignment horizontal="left" vertical="top" wrapText="1"/>
    </xf>
    <xf numFmtId="164" fontId="22" fillId="2" borderId="2" xfId="0" applyNumberFormat="1" applyFont="1" applyFill="1" applyBorder="1" applyAlignment="1">
      <alignment horizontal="right" vertical="top"/>
    </xf>
    <xf numFmtId="49" fontId="4" fillId="2" borderId="2" xfId="0" applyNumberFormat="1" applyFont="1" applyFill="1" applyBorder="1" applyAlignment="1">
      <alignment horizontal="left" vertical="top" wrapText="1"/>
    </xf>
    <xf numFmtId="164" fontId="17" fillId="2" borderId="2" xfId="0" applyNumberFormat="1" applyFont="1" applyFill="1" applyBorder="1" applyAlignment="1">
      <alignment horizontal="right" vertical="top"/>
    </xf>
    <xf numFmtId="164" fontId="23" fillId="2" borderId="2" xfId="0" applyNumberFormat="1" applyFont="1" applyFill="1" applyBorder="1" applyAlignment="1">
      <alignment horizontal="right" vertical="top"/>
    </xf>
    <xf numFmtId="164" fontId="22" fillId="0" borderId="2" xfId="0" applyNumberFormat="1" applyFont="1" applyFill="1" applyBorder="1" applyAlignment="1">
      <alignment horizontal="right" vertical="top"/>
    </xf>
    <xf numFmtId="164" fontId="23" fillId="0" borderId="2" xfId="0" applyNumberFormat="1" applyFont="1" applyFill="1" applyBorder="1" applyAlignment="1">
      <alignment horizontal="right" vertical="top"/>
    </xf>
    <xf numFmtId="0" fontId="27" fillId="2" borderId="0" xfId="0" applyFont="1" applyFill="1"/>
    <xf numFmtId="49" fontId="14" fillId="4" borderId="2" xfId="0" applyNumberFormat="1" applyFont="1" applyFill="1" applyBorder="1" applyAlignment="1">
      <alignment vertical="top" wrapText="1"/>
    </xf>
    <xf numFmtId="49" fontId="4" fillId="4" borderId="2" xfId="0" applyNumberFormat="1" applyFont="1" applyFill="1" applyBorder="1" applyAlignment="1">
      <alignment vertical="top" wrapText="1"/>
    </xf>
    <xf numFmtId="49" fontId="10" fillId="4" borderId="2" xfId="0" applyNumberFormat="1" applyFont="1" applyFill="1" applyBorder="1" applyAlignment="1">
      <alignment vertical="top" wrapText="1"/>
    </xf>
    <xf numFmtId="49" fontId="13" fillId="4" borderId="2" xfId="0" applyNumberFormat="1" applyFont="1" applyFill="1" applyBorder="1" applyAlignment="1">
      <alignment vertical="top" wrapText="1"/>
    </xf>
    <xf numFmtId="49" fontId="28" fillId="4" borderId="2" xfId="0" applyNumberFormat="1" applyFont="1" applyFill="1" applyBorder="1" applyAlignment="1">
      <alignment vertical="top" wrapText="1"/>
    </xf>
    <xf numFmtId="49" fontId="29" fillId="4" borderId="2" xfId="0" applyNumberFormat="1" applyFont="1" applyFill="1" applyBorder="1" applyAlignment="1">
      <alignment horizontal="center" vertical="top" wrapText="1"/>
    </xf>
    <xf numFmtId="0" fontId="29" fillId="4" borderId="2" xfId="0" applyFont="1" applyFill="1" applyBorder="1" applyAlignment="1">
      <alignment horizontal="center" vertical="top" wrapText="1"/>
    </xf>
    <xf numFmtId="164" fontId="28" fillId="4" borderId="2" xfId="0" applyNumberFormat="1" applyFont="1" applyFill="1" applyBorder="1" applyAlignment="1">
      <alignment horizontal="right" vertical="top" wrapText="1"/>
    </xf>
    <xf numFmtId="49" fontId="19" fillId="0" borderId="2" xfId="0" applyNumberFormat="1" applyFont="1" applyFill="1" applyBorder="1" applyAlignment="1">
      <alignment horizontal="center" vertical="top" wrapText="1"/>
    </xf>
    <xf numFmtId="49" fontId="13" fillId="0" borderId="2" xfId="0" applyNumberFormat="1" applyFont="1" applyFill="1" applyBorder="1" applyAlignment="1">
      <alignment vertical="top" wrapText="1"/>
    </xf>
    <xf numFmtId="0" fontId="30" fillId="0" borderId="0" xfId="0" applyFont="1" applyFill="1"/>
    <xf numFmtId="49" fontId="28" fillId="0" borderId="2" xfId="0" applyNumberFormat="1" applyFont="1" applyFill="1" applyBorder="1" applyAlignment="1">
      <alignment vertical="top" wrapText="1"/>
    </xf>
    <xf numFmtId="49" fontId="29" fillId="0" borderId="2" xfId="0" applyNumberFormat="1" applyFont="1" applyFill="1" applyBorder="1" applyAlignment="1">
      <alignment horizontal="center" vertical="top" wrapText="1"/>
    </xf>
    <xf numFmtId="0" fontId="29" fillId="0" borderId="2" xfId="0" applyFont="1" applyFill="1" applyBorder="1" applyAlignment="1">
      <alignment horizontal="center" vertical="top" wrapText="1"/>
    </xf>
    <xf numFmtId="164" fontId="28" fillId="0" borderId="2" xfId="0" applyNumberFormat="1" applyFont="1" applyFill="1" applyBorder="1" applyAlignment="1">
      <alignment horizontal="right" vertical="top" wrapText="1"/>
    </xf>
    <xf numFmtId="0" fontId="31" fillId="0" borderId="0" xfId="0" applyFont="1" applyFill="1"/>
    <xf numFmtId="49" fontId="10" fillId="4" borderId="2" xfId="0" applyNumberFormat="1" applyFont="1" applyFill="1" applyBorder="1" applyAlignment="1">
      <alignment horizontal="center" vertical="top" wrapText="1"/>
    </xf>
    <xf numFmtId="49" fontId="19" fillId="4" borderId="2" xfId="0" applyNumberFormat="1" applyFont="1" applyFill="1" applyBorder="1" applyAlignment="1">
      <alignment horizontal="left" vertical="top" wrapText="1"/>
    </xf>
    <xf numFmtId="2" fontId="24" fillId="4" borderId="2" xfId="0" applyNumberFormat="1" applyFont="1" applyFill="1" applyBorder="1" applyAlignment="1">
      <alignment horizontal="left" vertical="center" wrapText="1"/>
    </xf>
    <xf numFmtId="164" fontId="14" fillId="2" borderId="2" xfId="0" applyNumberFormat="1" applyFont="1" applyFill="1" applyBorder="1" applyAlignment="1">
      <alignment horizontal="right" vertical="top" wrapText="1"/>
    </xf>
    <xf numFmtId="49" fontId="10" fillId="2" borderId="2" xfId="0" applyNumberFormat="1" applyFont="1" applyFill="1" applyBorder="1" applyAlignment="1">
      <alignment horizontal="center" vertical="top" wrapText="1"/>
    </xf>
    <xf numFmtId="49" fontId="4" fillId="2" borderId="2" xfId="0" applyNumberFormat="1" applyFont="1" applyFill="1" applyBorder="1" applyAlignment="1">
      <alignment vertical="top" wrapText="1"/>
    </xf>
    <xf numFmtId="164" fontId="17" fillId="2" borderId="2" xfId="0" applyNumberFormat="1" applyFont="1" applyFill="1" applyBorder="1" applyAlignment="1">
      <alignment horizontal="right" vertical="top" wrapText="1"/>
    </xf>
    <xf numFmtId="0" fontId="0" fillId="2" borderId="0" xfId="0" applyFont="1" applyFill="1"/>
    <xf numFmtId="49" fontId="18" fillId="2" borderId="2" xfId="0" applyNumberFormat="1" applyFont="1" applyFill="1" applyBorder="1" applyAlignment="1">
      <alignment vertical="top" wrapText="1"/>
    </xf>
    <xf numFmtId="0" fontId="10" fillId="2" borderId="2" xfId="0" applyFont="1" applyFill="1" applyBorder="1" applyAlignment="1">
      <alignment horizontal="center" vertical="top" wrapText="1"/>
    </xf>
    <xf numFmtId="49" fontId="32" fillId="2" borderId="2" xfId="0" applyNumberFormat="1" applyFont="1" applyFill="1" applyBorder="1" applyAlignment="1">
      <alignment horizontal="center" vertical="top" wrapText="1"/>
    </xf>
    <xf numFmtId="0" fontId="10" fillId="2" borderId="2" xfId="0" applyFont="1" applyFill="1" applyBorder="1" applyAlignment="1">
      <alignment horizontal="right" vertical="top" wrapText="1"/>
    </xf>
    <xf numFmtId="165" fontId="10" fillId="2" borderId="2" xfId="0" applyNumberFormat="1" applyFont="1" applyFill="1" applyBorder="1" applyAlignment="1">
      <alignment horizontal="right" vertical="top" wrapText="1"/>
    </xf>
    <xf numFmtId="0" fontId="23" fillId="2" borderId="2" xfId="0" applyFont="1" applyFill="1" applyBorder="1" applyAlignment="1">
      <alignment horizontal="justify" vertical="center" wrapText="1"/>
    </xf>
    <xf numFmtId="49" fontId="19" fillId="2" borderId="2" xfId="0" applyNumberFormat="1" applyFont="1" applyFill="1" applyBorder="1" applyAlignment="1">
      <alignment horizontal="center" vertical="top" wrapText="1"/>
    </xf>
    <xf numFmtId="49" fontId="33" fillId="2" borderId="2" xfId="0" applyNumberFormat="1" applyFont="1" applyFill="1" applyBorder="1" applyAlignment="1">
      <alignment horizontal="center" vertical="top" wrapText="1"/>
    </xf>
    <xf numFmtId="164" fontId="23" fillId="2" borderId="2" xfId="0" applyNumberFormat="1" applyFont="1" applyFill="1" applyBorder="1" applyAlignment="1">
      <alignment horizontal="right" vertical="top" wrapText="1"/>
    </xf>
    <xf numFmtId="0" fontId="19" fillId="2" borderId="2" xfId="0" applyFont="1" applyFill="1" applyBorder="1" applyAlignment="1">
      <alignment horizontal="center" vertical="top" wrapText="1"/>
    </xf>
    <xf numFmtId="49" fontId="9" fillId="2" borderId="2" xfId="0" applyNumberFormat="1" applyFont="1" applyFill="1" applyBorder="1" applyAlignment="1">
      <alignment vertical="top" wrapText="1"/>
    </xf>
    <xf numFmtId="0" fontId="17" fillId="2" borderId="2" xfId="0" applyFont="1" applyFill="1" applyBorder="1" applyAlignment="1">
      <alignment vertical="top" wrapText="1"/>
    </xf>
    <xf numFmtId="164" fontId="15" fillId="0" borderId="2" xfId="0" applyNumberFormat="1" applyFont="1" applyFill="1" applyBorder="1" applyAlignment="1">
      <alignment horizontal="right" vertical="top" wrapText="1"/>
    </xf>
    <xf numFmtId="49" fontId="22" fillId="0" borderId="2" xfId="0" applyNumberFormat="1" applyFont="1" applyFill="1" applyBorder="1" applyAlignment="1">
      <alignment horizontal="left" vertical="center" wrapText="1"/>
    </xf>
    <xf numFmtId="49" fontId="23" fillId="0" borderId="2" xfId="0" applyNumberFormat="1" applyFont="1" applyFill="1" applyBorder="1" applyAlignment="1">
      <alignment horizontal="left" vertical="center" wrapText="1"/>
    </xf>
    <xf numFmtId="49" fontId="13" fillId="0" borderId="2" xfId="0" applyNumberFormat="1" applyFont="1" applyFill="1" applyBorder="1" applyAlignment="1">
      <alignment horizontal="center" vertical="top" wrapText="1"/>
    </xf>
    <xf numFmtId="0" fontId="10" fillId="0" borderId="2" xfId="0" applyFont="1" applyFill="1" applyBorder="1" applyAlignment="1">
      <alignment horizontal="center" vertical="top" wrapText="1"/>
    </xf>
    <xf numFmtId="0" fontId="19" fillId="0" borderId="2" xfId="0" applyFont="1" applyFill="1" applyBorder="1" applyAlignment="1">
      <alignment horizontal="center" vertical="top" wrapText="1"/>
    </xf>
    <xf numFmtId="0" fontId="13" fillId="2" borderId="2" xfId="0" applyNumberFormat="1" applyFont="1" applyFill="1" applyBorder="1" applyAlignment="1">
      <alignment horizontal="left" vertical="top" wrapText="1"/>
    </xf>
    <xf numFmtId="0" fontId="10" fillId="0" borderId="2" xfId="0" applyNumberFormat="1" applyFont="1" applyFill="1" applyBorder="1" applyAlignment="1">
      <alignment horizontal="left" vertical="top" wrapText="1"/>
    </xf>
    <xf numFmtId="0" fontId="13" fillId="4" borderId="2" xfId="0" applyNumberFormat="1" applyFont="1" applyFill="1" applyBorder="1" applyAlignment="1">
      <alignment horizontal="left" vertical="top" wrapText="1"/>
    </xf>
    <xf numFmtId="49" fontId="13" fillId="4" borderId="2" xfId="0" applyNumberFormat="1" applyFont="1" applyFill="1" applyBorder="1" applyAlignment="1">
      <alignment horizontal="center" vertical="top" wrapText="1"/>
    </xf>
    <xf numFmtId="0" fontId="10" fillId="4" borderId="2" xfId="0" applyFont="1" applyFill="1" applyBorder="1" applyAlignment="1">
      <alignment horizontal="center" vertical="top" wrapText="1"/>
    </xf>
    <xf numFmtId="49" fontId="10" fillId="0" borderId="2" xfId="0" applyNumberFormat="1" applyFont="1" applyFill="1" applyBorder="1" applyAlignment="1">
      <alignment horizontal="center" vertical="top" wrapText="1"/>
    </xf>
    <xf numFmtId="49" fontId="19" fillId="2" borderId="2" xfId="0" applyNumberFormat="1" applyFont="1" applyFill="1" applyBorder="1" applyAlignment="1">
      <alignment vertical="top" wrapText="1"/>
    </xf>
    <xf numFmtId="164" fontId="9" fillId="4" borderId="2" xfId="0" applyNumberFormat="1" applyFont="1" applyFill="1" applyBorder="1" applyAlignment="1">
      <alignment horizontal="right" vertical="top" wrapText="1"/>
    </xf>
    <xf numFmtId="49" fontId="15" fillId="2" borderId="2" xfId="0" applyNumberFormat="1" applyFont="1" applyFill="1" applyBorder="1" applyAlignment="1">
      <alignment vertical="top" wrapText="1"/>
    </xf>
    <xf numFmtId="0" fontId="23" fillId="4" borderId="2" xfId="0" applyFont="1" applyFill="1" applyBorder="1" applyAlignment="1">
      <alignment vertical="top" wrapText="1"/>
    </xf>
    <xf numFmtId="0" fontId="20" fillId="5" borderId="0" xfId="0" applyFont="1" applyFill="1"/>
    <xf numFmtId="0" fontId="2" fillId="5" borderId="0" xfId="0" applyFont="1" applyFill="1"/>
    <xf numFmtId="0" fontId="0" fillId="4" borderId="0" xfId="0" applyFont="1" applyFill="1"/>
    <xf numFmtId="0" fontId="13" fillId="4" borderId="2" xfId="0" applyFont="1" applyFill="1" applyBorder="1" applyAlignment="1">
      <alignment horizontal="center" vertical="top" wrapText="1"/>
    </xf>
    <xf numFmtId="0" fontId="9" fillId="3" borderId="2" xfId="0" applyFont="1" applyFill="1" applyBorder="1" applyAlignment="1">
      <alignment vertical="top" wrapText="1"/>
    </xf>
    <xf numFmtId="0" fontId="9" fillId="3" borderId="2" xfId="0" applyFont="1" applyFill="1" applyBorder="1" applyAlignment="1">
      <alignment horizontal="center" vertical="top" wrapText="1"/>
    </xf>
    <xf numFmtId="164" fontId="22" fillId="3" borderId="2" xfId="0" applyNumberFormat="1" applyFont="1" applyFill="1" applyBorder="1" applyAlignment="1">
      <alignment horizontal="right" vertical="top" wrapText="1"/>
    </xf>
    <xf numFmtId="0" fontId="12" fillId="3" borderId="0" xfId="0" applyFont="1" applyFill="1"/>
    <xf numFmtId="0" fontId="15" fillId="2" borderId="2" xfId="0" applyFont="1" applyFill="1" applyBorder="1" applyAlignment="1">
      <alignment horizontal="center" vertical="top" wrapText="1"/>
    </xf>
    <xf numFmtId="164" fontId="24" fillId="2" borderId="2" xfId="0" applyNumberFormat="1" applyFont="1" applyFill="1" applyBorder="1" applyAlignment="1">
      <alignment horizontal="right" vertical="top" wrapText="1"/>
    </xf>
    <xf numFmtId="0" fontId="9" fillId="0" borderId="2" xfId="0" applyFont="1" applyFill="1" applyBorder="1" applyAlignment="1">
      <alignment vertical="top" wrapText="1"/>
    </xf>
    <xf numFmtId="0" fontId="0" fillId="4" borderId="0" xfId="0" applyFill="1"/>
    <xf numFmtId="0" fontId="10" fillId="4" borderId="2" xfId="0" applyFont="1" applyFill="1" applyBorder="1" applyAlignment="1">
      <alignment vertical="top" wrapText="1"/>
    </xf>
    <xf numFmtId="2" fontId="13" fillId="0" borderId="2" xfId="0" applyNumberFormat="1" applyFont="1" applyFill="1" applyBorder="1" applyAlignment="1">
      <alignment horizontal="left" vertical="top" wrapText="1"/>
    </xf>
    <xf numFmtId="0" fontId="4" fillId="0" borderId="2" xfId="0" applyNumberFormat="1" applyFont="1" applyFill="1" applyBorder="1" applyAlignment="1">
      <alignment vertical="top" wrapText="1"/>
    </xf>
    <xf numFmtId="0" fontId="19" fillId="2" borderId="2" xfId="0" applyNumberFormat="1" applyFont="1" applyFill="1" applyBorder="1" applyAlignment="1">
      <alignment horizontal="left" vertical="top" wrapText="1"/>
    </xf>
    <xf numFmtId="49" fontId="9" fillId="0" borderId="2" xfId="0" applyNumberFormat="1" applyFont="1" applyFill="1" applyBorder="1" applyAlignment="1">
      <alignment vertical="top" wrapText="1"/>
    </xf>
    <xf numFmtId="0" fontId="13" fillId="0" borderId="2" xfId="0" applyFont="1" applyFill="1" applyBorder="1" applyAlignment="1">
      <alignment vertical="top" wrapText="1"/>
    </xf>
    <xf numFmtId="0" fontId="23" fillId="0" borderId="2" xfId="0" applyFont="1" applyFill="1" applyBorder="1" applyAlignment="1">
      <alignment horizontal="justify" vertical="center" wrapText="1"/>
    </xf>
    <xf numFmtId="49" fontId="15" fillId="4" borderId="2" xfId="0" applyNumberFormat="1" applyFont="1" applyFill="1" applyBorder="1" applyAlignment="1">
      <alignment vertical="top" wrapText="1"/>
    </xf>
    <xf numFmtId="0" fontId="10" fillId="4" borderId="2" xfId="0" applyNumberFormat="1" applyFont="1" applyFill="1" applyBorder="1" applyAlignment="1">
      <alignment horizontal="left" vertical="top" wrapText="1"/>
    </xf>
    <xf numFmtId="0" fontId="22" fillId="2" borderId="2" xfId="0" applyFont="1" applyFill="1" applyBorder="1" applyAlignment="1">
      <alignment vertical="top" wrapText="1"/>
    </xf>
    <xf numFmtId="0" fontId="5" fillId="0" borderId="0" xfId="0" applyFont="1"/>
    <xf numFmtId="0" fontId="20" fillId="2" borderId="0" xfId="0" applyFont="1" applyFill="1"/>
    <xf numFmtId="0" fontId="11" fillId="2" borderId="0" xfId="0" applyFont="1" applyFill="1"/>
    <xf numFmtId="0" fontId="11" fillId="5" borderId="0" xfId="0" applyFont="1" applyFill="1"/>
    <xf numFmtId="0" fontId="27" fillId="0" borderId="0" xfId="0" applyFont="1" applyFill="1"/>
    <xf numFmtId="0" fontId="17" fillId="0" borderId="2" xfId="0" applyFont="1" applyFill="1" applyBorder="1" applyAlignment="1">
      <alignment horizontal="justify" vertical="center" wrapText="1"/>
    </xf>
    <xf numFmtId="0" fontId="0" fillId="0" borderId="0" xfId="0" applyFont="1"/>
    <xf numFmtId="2" fontId="23" fillId="0" borderId="2" xfId="0" applyNumberFormat="1" applyFont="1" applyFill="1" applyBorder="1" applyAlignment="1">
      <alignment horizontal="left" vertical="center" wrapText="1"/>
    </xf>
    <xf numFmtId="0" fontId="17" fillId="0" borderId="2" xfId="0" applyNumberFormat="1" applyFont="1" applyFill="1" applyBorder="1" applyAlignment="1">
      <alignment vertical="top" wrapText="1"/>
    </xf>
    <xf numFmtId="49" fontId="9" fillId="4" borderId="2" xfId="0" applyNumberFormat="1" applyFont="1" applyFill="1" applyBorder="1" applyAlignment="1">
      <alignment vertical="top" wrapText="1"/>
    </xf>
    <xf numFmtId="2" fontId="23" fillId="4" borderId="2" xfId="0" applyNumberFormat="1" applyFont="1" applyFill="1" applyBorder="1" applyAlignment="1">
      <alignment horizontal="left" vertical="center" wrapText="1"/>
    </xf>
    <xf numFmtId="164" fontId="22" fillId="4" borderId="2" xfId="0" applyNumberFormat="1" applyFont="1" applyFill="1" applyBorder="1" applyAlignment="1">
      <alignment horizontal="right" vertical="top"/>
    </xf>
    <xf numFmtId="0" fontId="21" fillId="0" borderId="0" xfId="0" applyFont="1" applyFill="1" applyAlignment="1">
      <alignment horizontal="left"/>
    </xf>
    <xf numFmtId="49" fontId="15" fillId="4" borderId="2" xfId="0" applyNumberFormat="1" applyFont="1" applyFill="1" applyBorder="1" applyAlignment="1">
      <alignment horizontal="left" vertical="top" wrapText="1"/>
    </xf>
    <xf numFmtId="49" fontId="34" fillId="4" borderId="2" xfId="0" applyNumberFormat="1" applyFont="1" applyFill="1" applyBorder="1" applyAlignment="1">
      <alignment horizontal="left" vertical="top" wrapText="1"/>
    </xf>
    <xf numFmtId="49" fontId="34" fillId="4" borderId="2" xfId="0" applyNumberFormat="1" applyFont="1" applyFill="1" applyBorder="1" applyAlignment="1">
      <alignment horizontal="center" vertical="top" wrapText="1"/>
    </xf>
    <xf numFmtId="164" fontId="35" fillId="4" borderId="2" xfId="0" applyNumberFormat="1" applyFont="1" applyFill="1" applyBorder="1" applyAlignment="1">
      <alignment horizontal="right" vertical="top" wrapText="1"/>
    </xf>
    <xf numFmtId="49" fontId="4" fillId="6" borderId="2" xfId="0" applyNumberFormat="1" applyFont="1" applyFill="1" applyBorder="1" applyAlignment="1">
      <alignment horizontal="left" vertical="top" wrapText="1"/>
    </xf>
    <xf numFmtId="49" fontId="4" fillId="6" borderId="2" xfId="0" applyNumberFormat="1" applyFont="1" applyFill="1" applyBorder="1" applyAlignment="1">
      <alignment horizontal="center" vertical="top" wrapText="1"/>
    </xf>
    <xf numFmtId="0" fontId="2" fillId="6" borderId="0" xfId="0" applyFont="1" applyFill="1"/>
    <xf numFmtId="49" fontId="14" fillId="2" borderId="2" xfId="0" applyNumberFormat="1" applyFont="1" applyFill="1" applyBorder="1" applyAlignment="1">
      <alignment horizontal="center" vertical="top" wrapText="1"/>
    </xf>
    <xf numFmtId="0" fontId="4" fillId="4" borderId="2" xfId="0" applyNumberFormat="1" applyFont="1" applyFill="1" applyBorder="1" applyAlignment="1">
      <alignment horizontal="left" vertical="top" wrapText="1"/>
    </xf>
    <xf numFmtId="0" fontId="4" fillId="2" borderId="2" xfId="0" applyNumberFormat="1" applyFont="1" applyFill="1" applyBorder="1" applyAlignment="1">
      <alignment horizontal="left" vertical="top" wrapText="1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horizontal="center"/>
    </xf>
    <xf numFmtId="164" fontId="17" fillId="0" borderId="0" xfId="0" applyNumberFormat="1" applyFont="1" applyFill="1" applyAlignment="1">
      <alignment horizontal="center" vertical="top"/>
    </xf>
    <xf numFmtId="164" fontId="17" fillId="0" borderId="0" xfId="0" applyNumberFormat="1" applyFont="1" applyFill="1" applyAlignment="1">
      <alignment vertical="top"/>
    </xf>
    <xf numFmtId="0" fontId="4" fillId="0" borderId="0" xfId="0" applyFont="1" applyFill="1" applyAlignment="1"/>
    <xf numFmtId="0" fontId="4" fillId="0" borderId="0" xfId="0" applyFont="1" applyFill="1"/>
    <xf numFmtId="164" fontId="4" fillId="0" borderId="0" xfId="0" applyNumberFormat="1" applyFont="1" applyFill="1" applyAlignment="1">
      <alignment vertical="top"/>
    </xf>
    <xf numFmtId="166" fontId="9" fillId="0" borderId="2" xfId="0" applyNumberFormat="1" applyFont="1" applyFill="1" applyBorder="1" applyAlignment="1">
      <alignment horizontal="right" vertical="top" wrapText="1"/>
    </xf>
    <xf numFmtId="166" fontId="9" fillId="3" borderId="2" xfId="0" applyNumberFormat="1" applyFont="1" applyFill="1" applyBorder="1" applyAlignment="1">
      <alignment horizontal="right" vertical="top" wrapText="1"/>
    </xf>
    <xf numFmtId="166" fontId="10" fillId="4" borderId="2" xfId="0" applyNumberFormat="1" applyFont="1" applyFill="1" applyBorder="1" applyAlignment="1">
      <alignment horizontal="right" vertical="top" wrapText="1"/>
    </xf>
    <xf numFmtId="166" fontId="13" fillId="4" borderId="2" xfId="0" applyNumberFormat="1" applyFont="1" applyFill="1" applyBorder="1" applyAlignment="1">
      <alignment horizontal="right" vertical="top" wrapText="1"/>
    </xf>
    <xf numFmtId="166" fontId="24" fillId="0" borderId="2" xfId="0" applyNumberFormat="1" applyFont="1" applyFill="1" applyBorder="1" applyAlignment="1">
      <alignment horizontal="right" vertical="top"/>
    </xf>
    <xf numFmtId="166" fontId="22" fillId="0" borderId="2" xfId="0" applyNumberFormat="1" applyFont="1" applyFill="1" applyBorder="1" applyAlignment="1">
      <alignment horizontal="right" vertical="top" wrapText="1"/>
    </xf>
    <xf numFmtId="166" fontId="17" fillId="0" borderId="2" xfId="0" applyNumberFormat="1" applyFont="1" applyFill="1" applyBorder="1" applyAlignment="1">
      <alignment horizontal="right" vertical="top" wrapText="1"/>
    </xf>
    <xf numFmtId="166" fontId="14" fillId="4" borderId="2" xfId="0" applyNumberFormat="1" applyFont="1" applyFill="1" applyBorder="1" applyAlignment="1">
      <alignment horizontal="right" vertical="top" wrapText="1"/>
    </xf>
    <xf numFmtId="166" fontId="18" fillId="4" borderId="2" xfId="0" applyNumberFormat="1" applyFont="1" applyFill="1" applyBorder="1" applyAlignment="1">
      <alignment horizontal="right" vertical="top" wrapText="1"/>
    </xf>
    <xf numFmtId="166" fontId="9" fillId="4" borderId="2" xfId="0" applyNumberFormat="1" applyFont="1" applyFill="1" applyBorder="1" applyAlignment="1">
      <alignment horizontal="right" vertical="top" wrapText="1"/>
    </xf>
    <xf numFmtId="166" fontId="22" fillId="3" borderId="2" xfId="0" applyNumberFormat="1" applyFont="1" applyFill="1" applyBorder="1" applyAlignment="1">
      <alignment horizontal="right" vertical="top" wrapText="1"/>
    </xf>
    <xf numFmtId="166" fontId="17" fillId="2" borderId="2" xfId="0" applyNumberFormat="1" applyFont="1" applyFill="1" applyBorder="1" applyAlignment="1">
      <alignment horizontal="right" vertical="top" wrapText="1"/>
    </xf>
    <xf numFmtId="164" fontId="9" fillId="0" borderId="1" xfId="0" applyNumberFormat="1" applyFont="1" applyFill="1" applyBorder="1" applyAlignment="1">
      <alignment horizontal="center" vertical="top" wrapText="1"/>
    </xf>
    <xf numFmtId="164" fontId="9" fillId="0" borderId="3" xfId="0" applyNumberFormat="1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right" wrapText="1"/>
    </xf>
    <xf numFmtId="0" fontId="3" fillId="0" borderId="0" xfId="0" applyFont="1" applyFill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center" vertical="top" wrapText="1"/>
    </xf>
  </cellXfs>
  <cellStyles count="3">
    <cellStyle name="Обычный" xfId="0" builtinId="0"/>
    <cellStyle name="Обычный 2" xfId="2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2794"/>
  <sheetViews>
    <sheetView showGridLines="0" tabSelected="1" view="pageBreakPreview" zoomScale="70" zoomScaleNormal="70" zoomScaleSheetLayoutView="70" workbookViewId="0">
      <selection activeCell="Q22" sqref="Q22"/>
    </sheetView>
  </sheetViews>
  <sheetFormatPr defaultRowHeight="15.75" x14ac:dyDescent="0.25"/>
  <cols>
    <col min="1" max="1" width="59" style="251" customWidth="1"/>
    <col min="2" max="2" width="11.42578125" style="256" customWidth="1"/>
    <col min="3" max="3" width="7.42578125" style="256" customWidth="1"/>
    <col min="4" max="4" width="16.5703125" style="256" customWidth="1"/>
    <col min="5" max="5" width="7.42578125" style="256" customWidth="1"/>
    <col min="6" max="8" width="15.7109375" style="257" customWidth="1"/>
    <col min="9" max="9" width="9" style="228" customWidth="1"/>
    <col min="10" max="11" width="8.85546875" style="228" customWidth="1"/>
  </cols>
  <sheetData>
    <row r="1" spans="1:11" s="5" customFormat="1" ht="70.900000000000006" customHeight="1" x14ac:dyDescent="0.25">
      <c r="A1" s="1"/>
      <c r="B1" s="2"/>
      <c r="C1" s="3"/>
      <c r="D1" s="3"/>
      <c r="E1" s="3"/>
      <c r="F1" s="272" t="s">
        <v>976</v>
      </c>
      <c r="G1" s="272"/>
      <c r="H1" s="272"/>
      <c r="I1" s="4"/>
      <c r="J1" s="4"/>
    </row>
    <row r="2" spans="1:11" s="5" customFormat="1" ht="21.6" customHeight="1" x14ac:dyDescent="0.25">
      <c r="A2" s="1"/>
      <c r="B2" s="6"/>
      <c r="C2" s="6"/>
      <c r="D2" s="6"/>
      <c r="E2" s="6"/>
      <c r="F2" s="7"/>
      <c r="G2" s="7"/>
      <c r="H2" s="7"/>
      <c r="I2" s="4"/>
      <c r="J2" s="4"/>
    </row>
    <row r="3" spans="1:11" s="9" customFormat="1" ht="54" customHeight="1" x14ac:dyDescent="0.2">
      <c r="A3" s="273" t="s">
        <v>967</v>
      </c>
      <c r="B3" s="273"/>
      <c r="C3" s="273"/>
      <c r="D3" s="273"/>
      <c r="E3" s="273"/>
      <c r="F3" s="273"/>
      <c r="G3" s="273"/>
      <c r="H3" s="273"/>
      <c r="I3" s="8"/>
      <c r="J3" s="8"/>
    </row>
    <row r="4" spans="1:11" s="5" customFormat="1" ht="18.75" x14ac:dyDescent="0.2">
      <c r="A4" s="1"/>
      <c r="B4" s="10"/>
      <c r="C4" s="10"/>
      <c r="D4" s="10"/>
      <c r="E4" s="10"/>
      <c r="F4" s="10"/>
      <c r="G4" s="10"/>
      <c r="H4" s="10"/>
      <c r="I4" s="4"/>
      <c r="J4" s="4"/>
      <c r="K4" s="4"/>
    </row>
    <row r="5" spans="1:11" s="9" customFormat="1" ht="16.5" x14ac:dyDescent="0.2">
      <c r="A5" s="11"/>
      <c r="B5" s="12"/>
      <c r="C5" s="12"/>
      <c r="D5" s="12"/>
      <c r="E5" s="12"/>
      <c r="F5" s="13"/>
      <c r="G5" s="13"/>
      <c r="H5" s="13" t="s">
        <v>0</v>
      </c>
      <c r="I5" s="8"/>
      <c r="J5" s="8"/>
      <c r="K5" s="8"/>
    </row>
    <row r="6" spans="1:11" s="5" customFormat="1" ht="33" customHeight="1" x14ac:dyDescent="0.2">
      <c r="A6" s="274" t="s">
        <v>968</v>
      </c>
      <c r="B6" s="274" t="s">
        <v>969</v>
      </c>
      <c r="C6" s="274" t="s">
        <v>970</v>
      </c>
      <c r="D6" s="274" t="s">
        <v>971</v>
      </c>
      <c r="E6" s="274" t="s">
        <v>972</v>
      </c>
      <c r="F6" s="270" t="s">
        <v>974</v>
      </c>
      <c r="G6" s="270" t="s">
        <v>975</v>
      </c>
      <c r="H6" s="270" t="s">
        <v>973</v>
      </c>
      <c r="I6" s="4"/>
      <c r="J6" s="4"/>
    </row>
    <row r="7" spans="1:11" s="5" customFormat="1" ht="13.9" customHeight="1" x14ac:dyDescent="0.2">
      <c r="A7" s="275"/>
      <c r="B7" s="275"/>
      <c r="C7" s="275"/>
      <c r="D7" s="275"/>
      <c r="E7" s="275"/>
      <c r="F7" s="271"/>
      <c r="G7" s="271"/>
      <c r="H7" s="271"/>
      <c r="I7" s="4"/>
      <c r="J7" s="4"/>
    </row>
    <row r="8" spans="1:11" s="5" customFormat="1" ht="27" customHeight="1" x14ac:dyDescent="0.2">
      <c r="A8" s="14" t="s">
        <v>1</v>
      </c>
      <c r="B8" s="15"/>
      <c r="C8" s="15"/>
      <c r="D8" s="15"/>
      <c r="E8" s="15"/>
      <c r="F8" s="16">
        <f>F9+F40+F854+F1448</f>
        <v>908999.62999999989</v>
      </c>
      <c r="G8" s="16">
        <f>G9+G40+G854+G1448-0.1</f>
        <v>565958.33000000007</v>
      </c>
      <c r="H8" s="258">
        <f>G8/F8</f>
        <v>0.62261667807279542</v>
      </c>
      <c r="I8" s="17"/>
      <c r="J8" s="4"/>
      <c r="K8" s="4"/>
    </row>
    <row r="9" spans="1:11" s="22" customFormat="1" ht="31.5" x14ac:dyDescent="0.2">
      <c r="A9" s="18" t="s">
        <v>2</v>
      </c>
      <c r="B9" s="19" t="s">
        <v>3</v>
      </c>
      <c r="C9" s="19" t="s">
        <v>4</v>
      </c>
      <c r="D9" s="19" t="s">
        <v>4</v>
      </c>
      <c r="E9" s="19" t="s">
        <v>4</v>
      </c>
      <c r="F9" s="20">
        <f>F10</f>
        <v>1261.8000000000002</v>
      </c>
      <c r="G9" s="20">
        <f t="shared" ref="G9" si="0">G10</f>
        <v>796.40000000000009</v>
      </c>
      <c r="H9" s="259">
        <f>G9/F9</f>
        <v>0.63116183230305911</v>
      </c>
      <c r="I9" s="21"/>
      <c r="J9" s="21"/>
      <c r="K9" s="21"/>
    </row>
    <row r="10" spans="1:11" s="28" customFormat="1" ht="21" customHeight="1" x14ac:dyDescent="0.2">
      <c r="A10" s="23" t="s">
        <v>5</v>
      </c>
      <c r="B10" s="15" t="s">
        <v>3</v>
      </c>
      <c r="C10" s="15" t="s">
        <v>6</v>
      </c>
      <c r="D10" s="24"/>
      <c r="E10" s="24"/>
      <c r="F10" s="25">
        <f>F15+F35</f>
        <v>1261.8000000000002</v>
      </c>
      <c r="G10" s="25">
        <f t="shared" ref="G10" si="1">G15+G35</f>
        <v>796.40000000000009</v>
      </c>
      <c r="H10" s="258">
        <f t="shared" ref="H10:H73" si="2">G10/F10</f>
        <v>0.63116183230305911</v>
      </c>
      <c r="I10" s="26"/>
      <c r="J10" s="27"/>
      <c r="K10" s="27"/>
    </row>
    <row r="11" spans="1:11" s="28" customFormat="1" ht="47.25" hidden="1" customHeight="1" x14ac:dyDescent="0.2">
      <c r="A11" s="23" t="s">
        <v>7</v>
      </c>
      <c r="B11" s="15" t="s">
        <v>8</v>
      </c>
      <c r="C11" s="15" t="s">
        <v>9</v>
      </c>
      <c r="D11" s="15" t="s">
        <v>10</v>
      </c>
      <c r="E11" s="24"/>
      <c r="F11" s="29">
        <f>F12</f>
        <v>0</v>
      </c>
      <c r="G11" s="29">
        <f t="shared" ref="G11:G13" si="3">G12</f>
        <v>0</v>
      </c>
      <c r="H11" s="258" t="e">
        <f t="shared" si="2"/>
        <v>#DIV/0!</v>
      </c>
      <c r="I11" s="27"/>
      <c r="J11" s="27"/>
      <c r="K11" s="27"/>
    </row>
    <row r="12" spans="1:11" s="28" customFormat="1" ht="63" hidden="1" customHeight="1" x14ac:dyDescent="0.2">
      <c r="A12" s="30" t="s">
        <v>11</v>
      </c>
      <c r="B12" s="31" t="s">
        <v>8</v>
      </c>
      <c r="C12" s="31" t="s">
        <v>9</v>
      </c>
      <c r="D12" s="31" t="s">
        <v>12</v>
      </c>
      <c r="E12" s="32"/>
      <c r="F12" s="29">
        <f>F13</f>
        <v>0</v>
      </c>
      <c r="G12" s="29">
        <f t="shared" si="3"/>
        <v>0</v>
      </c>
      <c r="H12" s="258" t="e">
        <f t="shared" si="2"/>
        <v>#DIV/0!</v>
      </c>
      <c r="I12" s="27"/>
      <c r="J12" s="27"/>
      <c r="K12" s="27"/>
    </row>
    <row r="13" spans="1:11" s="28" customFormat="1" ht="15.75" hidden="1" customHeight="1" x14ac:dyDescent="0.2">
      <c r="A13" s="30" t="s">
        <v>13</v>
      </c>
      <c r="B13" s="31" t="s">
        <v>8</v>
      </c>
      <c r="C13" s="31" t="s">
        <v>9</v>
      </c>
      <c r="D13" s="31" t="s">
        <v>14</v>
      </c>
      <c r="E13" s="32"/>
      <c r="F13" s="29">
        <f>F14</f>
        <v>0</v>
      </c>
      <c r="G13" s="29">
        <f t="shared" si="3"/>
        <v>0</v>
      </c>
      <c r="H13" s="258" t="e">
        <f t="shared" si="2"/>
        <v>#DIV/0!</v>
      </c>
      <c r="I13" s="27"/>
      <c r="J13" s="27"/>
      <c r="K13" s="27"/>
    </row>
    <row r="14" spans="1:11" s="28" customFormat="1" ht="17.25" hidden="1" customHeight="1" x14ac:dyDescent="0.2">
      <c r="A14" s="30" t="s">
        <v>15</v>
      </c>
      <c r="B14" s="31" t="s">
        <v>8</v>
      </c>
      <c r="C14" s="31" t="s">
        <v>9</v>
      </c>
      <c r="D14" s="31" t="s">
        <v>14</v>
      </c>
      <c r="E14" s="32">
        <v>500</v>
      </c>
      <c r="F14" s="29">
        <v>0</v>
      </c>
      <c r="G14" s="29">
        <v>0</v>
      </c>
      <c r="H14" s="258" t="e">
        <f t="shared" si="2"/>
        <v>#DIV/0!</v>
      </c>
      <c r="I14" s="27"/>
      <c r="J14" s="27"/>
      <c r="K14" s="27"/>
    </row>
    <row r="15" spans="1:11" s="28" customFormat="1" ht="50.45" customHeight="1" x14ac:dyDescent="0.2">
      <c r="A15" s="33" t="s">
        <v>16</v>
      </c>
      <c r="B15" s="34" t="s">
        <v>3</v>
      </c>
      <c r="C15" s="34" t="s">
        <v>17</v>
      </c>
      <c r="D15" s="34"/>
      <c r="E15" s="34" t="s">
        <v>4</v>
      </c>
      <c r="F15" s="35">
        <f>F16+F28</f>
        <v>639.80000000000007</v>
      </c>
      <c r="G15" s="35">
        <f t="shared" ref="G15" si="4">G16+G28</f>
        <v>468.10000000000008</v>
      </c>
      <c r="H15" s="258">
        <f t="shared" si="2"/>
        <v>0.73163488590184433</v>
      </c>
      <c r="I15" s="27"/>
      <c r="J15" s="27"/>
      <c r="K15" s="27"/>
    </row>
    <row r="16" spans="1:11" s="28" customFormat="1" ht="63" x14ac:dyDescent="0.2">
      <c r="A16" s="23" t="s">
        <v>11</v>
      </c>
      <c r="B16" s="15" t="s">
        <v>3</v>
      </c>
      <c r="C16" s="15" t="s">
        <v>17</v>
      </c>
      <c r="D16" s="15" t="s">
        <v>18</v>
      </c>
      <c r="E16" s="15" t="s">
        <v>4</v>
      </c>
      <c r="F16" s="25">
        <f>F17+F19</f>
        <v>639.80000000000007</v>
      </c>
      <c r="G16" s="25">
        <f t="shared" ref="G16" si="5">G17+G19</f>
        <v>468.10000000000008</v>
      </c>
      <c r="H16" s="258">
        <f t="shared" si="2"/>
        <v>0.73163488590184433</v>
      </c>
      <c r="I16" s="27"/>
      <c r="J16" s="27"/>
      <c r="K16" s="27"/>
    </row>
    <row r="17" spans="1:11" s="28" customFormat="1" ht="19.5" hidden="1" customHeight="1" x14ac:dyDescent="0.2">
      <c r="A17" s="36" t="s">
        <v>19</v>
      </c>
      <c r="B17" s="31" t="s">
        <v>8</v>
      </c>
      <c r="C17" s="31" t="s">
        <v>17</v>
      </c>
      <c r="D17" s="31" t="s">
        <v>20</v>
      </c>
      <c r="E17" s="31"/>
      <c r="F17" s="29">
        <f>F18</f>
        <v>0</v>
      </c>
      <c r="G17" s="29">
        <f t="shared" ref="G17" si="6">G18</f>
        <v>0</v>
      </c>
      <c r="H17" s="258" t="e">
        <f t="shared" si="2"/>
        <v>#DIV/0!</v>
      </c>
      <c r="I17" s="27"/>
      <c r="J17" s="27"/>
      <c r="K17" s="27"/>
    </row>
    <row r="18" spans="1:11" s="5" customFormat="1" ht="27" hidden="1" customHeight="1" x14ac:dyDescent="0.2">
      <c r="A18" s="36" t="s">
        <v>15</v>
      </c>
      <c r="B18" s="31" t="s">
        <v>8</v>
      </c>
      <c r="C18" s="31" t="s">
        <v>17</v>
      </c>
      <c r="D18" s="31" t="s">
        <v>20</v>
      </c>
      <c r="E18" s="32">
        <v>500</v>
      </c>
      <c r="F18" s="29">
        <v>0</v>
      </c>
      <c r="G18" s="29">
        <v>0</v>
      </c>
      <c r="H18" s="258" t="e">
        <f t="shared" si="2"/>
        <v>#DIV/0!</v>
      </c>
      <c r="I18" s="4"/>
      <c r="J18" s="4"/>
      <c r="K18" s="4"/>
    </row>
    <row r="19" spans="1:11" s="5" customFormat="1" x14ac:dyDescent="0.2">
      <c r="A19" s="30" t="s">
        <v>21</v>
      </c>
      <c r="B19" s="31" t="s">
        <v>3</v>
      </c>
      <c r="C19" s="31" t="s">
        <v>17</v>
      </c>
      <c r="D19" s="31" t="s">
        <v>22</v>
      </c>
      <c r="E19" s="32"/>
      <c r="F19" s="29">
        <f>F20+F22+F24</f>
        <v>639.80000000000007</v>
      </c>
      <c r="G19" s="29">
        <f t="shared" ref="G19" si="7">G20+G22+G24</f>
        <v>468.10000000000008</v>
      </c>
      <c r="H19" s="258">
        <f t="shared" si="2"/>
        <v>0.73163488590184433</v>
      </c>
      <c r="I19" s="4"/>
      <c r="J19" s="4"/>
      <c r="K19" s="4"/>
    </row>
    <row r="20" spans="1:11" s="5" customFormat="1" ht="63.6" customHeight="1" x14ac:dyDescent="0.2">
      <c r="A20" s="36" t="s">
        <v>23</v>
      </c>
      <c r="B20" s="31" t="s">
        <v>3</v>
      </c>
      <c r="C20" s="31" t="s">
        <v>17</v>
      </c>
      <c r="D20" s="31" t="s">
        <v>22</v>
      </c>
      <c r="E20" s="32">
        <v>100</v>
      </c>
      <c r="F20" s="29">
        <f>F21</f>
        <v>550.70000000000005</v>
      </c>
      <c r="G20" s="29">
        <f t="shared" ref="G20" si="8">G21</f>
        <v>399.70000000000005</v>
      </c>
      <c r="H20" s="258">
        <f t="shared" si="2"/>
        <v>0.72580352278917748</v>
      </c>
      <c r="I20" s="4"/>
      <c r="J20" s="4"/>
      <c r="K20" s="4"/>
    </row>
    <row r="21" spans="1:11" s="5" customFormat="1" ht="31.5" x14ac:dyDescent="0.2">
      <c r="A21" s="36" t="s">
        <v>24</v>
      </c>
      <c r="B21" s="31" t="s">
        <v>3</v>
      </c>
      <c r="C21" s="31" t="s">
        <v>17</v>
      </c>
      <c r="D21" s="31" t="s">
        <v>22</v>
      </c>
      <c r="E21" s="32">
        <v>120</v>
      </c>
      <c r="F21" s="29">
        <f>527.7+3+20</f>
        <v>550.70000000000005</v>
      </c>
      <c r="G21" s="29">
        <f>305.5+0.1+6.1+88</f>
        <v>399.70000000000005</v>
      </c>
      <c r="H21" s="258">
        <f t="shared" si="2"/>
        <v>0.72580352278917748</v>
      </c>
      <c r="I21" s="37"/>
      <c r="J21" s="8"/>
      <c r="K21" s="4"/>
    </row>
    <row r="22" spans="1:11" s="5" customFormat="1" ht="33.75" customHeight="1" x14ac:dyDescent="0.2">
      <c r="A22" s="38" t="s">
        <v>25</v>
      </c>
      <c r="B22" s="31" t="s">
        <v>3</v>
      </c>
      <c r="C22" s="31" t="s">
        <v>17</v>
      </c>
      <c r="D22" s="31" t="s">
        <v>22</v>
      </c>
      <c r="E22" s="32">
        <v>200</v>
      </c>
      <c r="F22" s="29">
        <f>F23</f>
        <v>83.9</v>
      </c>
      <c r="G22" s="29">
        <f t="shared" ref="G22" si="9">G23</f>
        <v>68.099999999999994</v>
      </c>
      <c r="H22" s="258">
        <f t="shared" si="2"/>
        <v>0.81168057210965427</v>
      </c>
      <c r="I22" s="4"/>
      <c r="J22" s="4"/>
      <c r="K22" s="4"/>
    </row>
    <row r="23" spans="1:11" s="5" customFormat="1" ht="33.75" customHeight="1" x14ac:dyDescent="0.2">
      <c r="A23" s="36" t="s">
        <v>26</v>
      </c>
      <c r="B23" s="31" t="s">
        <v>3</v>
      </c>
      <c r="C23" s="31" t="s">
        <v>17</v>
      </c>
      <c r="D23" s="31" t="s">
        <v>22</v>
      </c>
      <c r="E23" s="32">
        <v>240</v>
      </c>
      <c r="F23" s="29">
        <v>83.9</v>
      </c>
      <c r="G23" s="29">
        <v>68.099999999999994</v>
      </c>
      <c r="H23" s="258">
        <f t="shared" si="2"/>
        <v>0.81168057210965427</v>
      </c>
      <c r="I23" s="4"/>
      <c r="J23" s="4"/>
      <c r="K23" s="4"/>
    </row>
    <row r="24" spans="1:11" s="5" customFormat="1" x14ac:dyDescent="0.2">
      <c r="A24" s="36" t="s">
        <v>27</v>
      </c>
      <c r="B24" s="31" t="s">
        <v>3</v>
      </c>
      <c r="C24" s="31" t="s">
        <v>17</v>
      </c>
      <c r="D24" s="31" t="s">
        <v>22</v>
      </c>
      <c r="E24" s="32">
        <v>300</v>
      </c>
      <c r="F24" s="29">
        <f>F25+F27</f>
        <v>5.2</v>
      </c>
      <c r="G24" s="29">
        <f t="shared" ref="G24" si="10">G25+G27</f>
        <v>0.3</v>
      </c>
      <c r="H24" s="258">
        <f t="shared" si="2"/>
        <v>5.7692307692307689E-2</v>
      </c>
      <c r="I24" s="4"/>
      <c r="J24" s="4"/>
      <c r="K24" s="4"/>
    </row>
    <row r="25" spans="1:11" s="5" customFormat="1" x14ac:dyDescent="0.2">
      <c r="A25" s="36" t="s">
        <v>28</v>
      </c>
      <c r="B25" s="31" t="s">
        <v>3</v>
      </c>
      <c r="C25" s="31" t="s">
        <v>17</v>
      </c>
      <c r="D25" s="31" t="s">
        <v>22</v>
      </c>
      <c r="E25" s="32">
        <v>350</v>
      </c>
      <c r="F25" s="29">
        <v>5</v>
      </c>
      <c r="G25" s="29">
        <v>0</v>
      </c>
      <c r="H25" s="258">
        <f t="shared" si="2"/>
        <v>0</v>
      </c>
      <c r="I25" s="4"/>
      <c r="J25" s="4"/>
      <c r="K25" s="4"/>
    </row>
    <row r="26" spans="1:11" s="5" customFormat="1" x14ac:dyDescent="0.2">
      <c r="A26" s="36" t="s">
        <v>29</v>
      </c>
      <c r="B26" s="31" t="s">
        <v>3</v>
      </c>
      <c r="C26" s="31" t="s">
        <v>17</v>
      </c>
      <c r="D26" s="31" t="s">
        <v>22</v>
      </c>
      <c r="E26" s="32">
        <v>800</v>
      </c>
      <c r="F26" s="29">
        <f>F27</f>
        <v>0.2</v>
      </c>
      <c r="G26" s="29">
        <f t="shared" ref="G26" si="11">G27</f>
        <v>0.3</v>
      </c>
      <c r="H26" s="258">
        <f t="shared" si="2"/>
        <v>1.4999999999999998</v>
      </c>
      <c r="I26" s="4"/>
      <c r="J26" s="4"/>
      <c r="K26" s="4"/>
    </row>
    <row r="27" spans="1:11" s="5" customFormat="1" x14ac:dyDescent="0.2">
      <c r="A27" s="36" t="s">
        <v>30</v>
      </c>
      <c r="B27" s="31" t="s">
        <v>3</v>
      </c>
      <c r="C27" s="31" t="s">
        <v>17</v>
      </c>
      <c r="D27" s="31" t="s">
        <v>22</v>
      </c>
      <c r="E27" s="32">
        <v>850</v>
      </c>
      <c r="F27" s="29">
        <v>0.2</v>
      </c>
      <c r="G27" s="29">
        <v>0.3</v>
      </c>
      <c r="H27" s="258">
        <f t="shared" si="2"/>
        <v>1.4999999999999998</v>
      </c>
      <c r="I27" s="4"/>
      <c r="J27" s="4"/>
      <c r="K27" s="4"/>
    </row>
    <row r="28" spans="1:11" s="5" customFormat="1" hidden="1" x14ac:dyDescent="0.2">
      <c r="A28" s="36" t="s">
        <v>31</v>
      </c>
      <c r="B28" s="15" t="s">
        <v>3</v>
      </c>
      <c r="C28" s="15" t="s">
        <v>17</v>
      </c>
      <c r="D28" s="15" t="s">
        <v>32</v>
      </c>
      <c r="E28" s="24"/>
      <c r="F28" s="25">
        <f>F29</f>
        <v>0</v>
      </c>
      <c r="G28" s="25">
        <f t="shared" ref="G28:G29" si="12">G29</f>
        <v>0</v>
      </c>
      <c r="H28" s="258" t="e">
        <f t="shared" si="2"/>
        <v>#DIV/0!</v>
      </c>
      <c r="I28" s="4"/>
      <c r="J28" s="4"/>
      <c r="K28" s="4"/>
    </row>
    <row r="29" spans="1:11" s="5" customFormat="1" hidden="1" x14ac:dyDescent="0.2">
      <c r="A29" s="39" t="s">
        <v>33</v>
      </c>
      <c r="B29" s="40" t="s">
        <v>3</v>
      </c>
      <c r="C29" s="40" t="s">
        <v>17</v>
      </c>
      <c r="D29" s="40" t="s">
        <v>34</v>
      </c>
      <c r="E29" s="41"/>
      <c r="F29" s="42">
        <f>F30</f>
        <v>0</v>
      </c>
      <c r="G29" s="42">
        <f t="shared" si="12"/>
        <v>0</v>
      </c>
      <c r="H29" s="258" t="e">
        <f t="shared" si="2"/>
        <v>#DIV/0!</v>
      </c>
      <c r="I29" s="4"/>
      <c r="J29" s="4"/>
      <c r="K29" s="4"/>
    </row>
    <row r="30" spans="1:11" s="5" customFormat="1" ht="31.5" hidden="1" x14ac:dyDescent="0.2">
      <c r="A30" s="38" t="s">
        <v>25</v>
      </c>
      <c r="B30" s="40" t="s">
        <v>3</v>
      </c>
      <c r="C30" s="31" t="s">
        <v>17</v>
      </c>
      <c r="D30" s="31" t="s">
        <v>35</v>
      </c>
      <c r="E30" s="31" t="s">
        <v>36</v>
      </c>
      <c r="F30" s="29"/>
      <c r="G30" s="29"/>
      <c r="H30" s="258" t="e">
        <f t="shared" si="2"/>
        <v>#DIV/0!</v>
      </c>
      <c r="I30" s="4"/>
      <c r="J30" s="4"/>
      <c r="K30" s="4"/>
    </row>
    <row r="31" spans="1:11" s="5" customFormat="1" ht="31.5" hidden="1" x14ac:dyDescent="0.2">
      <c r="A31" s="36" t="s">
        <v>26</v>
      </c>
      <c r="B31" s="40" t="s">
        <v>3</v>
      </c>
      <c r="C31" s="31" t="s">
        <v>17</v>
      </c>
      <c r="D31" s="31" t="s">
        <v>35</v>
      </c>
      <c r="E31" s="31" t="s">
        <v>37</v>
      </c>
      <c r="F31" s="29"/>
      <c r="G31" s="29"/>
      <c r="H31" s="258" t="e">
        <f t="shared" si="2"/>
        <v>#DIV/0!</v>
      </c>
      <c r="I31" s="4"/>
      <c r="J31" s="4"/>
      <c r="K31" s="4"/>
    </row>
    <row r="32" spans="1:11" s="5" customFormat="1" ht="47.25" x14ac:dyDescent="0.2">
      <c r="A32" s="33" t="s">
        <v>38</v>
      </c>
      <c r="B32" s="34" t="s">
        <v>3</v>
      </c>
      <c r="C32" s="34" t="s">
        <v>39</v>
      </c>
      <c r="D32" s="34"/>
      <c r="E32" s="41"/>
      <c r="F32" s="35">
        <f>F33</f>
        <v>622</v>
      </c>
      <c r="G32" s="35">
        <f t="shared" ref="G32:G34" si="13">G33</f>
        <v>328.3</v>
      </c>
      <c r="H32" s="258">
        <f t="shared" si="2"/>
        <v>0.52781350482315115</v>
      </c>
      <c r="I32" s="4"/>
      <c r="J32" s="4"/>
      <c r="K32" s="4"/>
    </row>
    <row r="33" spans="1:11" s="5" customFormat="1" ht="63" x14ac:dyDescent="0.2">
      <c r="A33" s="23" t="s">
        <v>11</v>
      </c>
      <c r="B33" s="15" t="s">
        <v>3</v>
      </c>
      <c r="C33" s="15" t="s">
        <v>39</v>
      </c>
      <c r="D33" s="15" t="s">
        <v>18</v>
      </c>
      <c r="E33" s="24"/>
      <c r="F33" s="25">
        <f>F34</f>
        <v>622</v>
      </c>
      <c r="G33" s="25">
        <f t="shared" si="13"/>
        <v>328.3</v>
      </c>
      <c r="H33" s="258">
        <f t="shared" si="2"/>
        <v>0.52781350482315115</v>
      </c>
      <c r="I33" s="4"/>
      <c r="J33" s="4"/>
      <c r="K33" s="4"/>
    </row>
    <row r="34" spans="1:11" s="5" customFormat="1" x14ac:dyDescent="0.2">
      <c r="A34" s="30" t="s">
        <v>21</v>
      </c>
      <c r="B34" s="31" t="s">
        <v>3</v>
      </c>
      <c r="C34" s="31" t="s">
        <v>39</v>
      </c>
      <c r="D34" s="31" t="s">
        <v>22</v>
      </c>
      <c r="E34" s="32"/>
      <c r="F34" s="29">
        <f>F35</f>
        <v>622</v>
      </c>
      <c r="G34" s="29">
        <f t="shared" si="13"/>
        <v>328.3</v>
      </c>
      <c r="H34" s="258">
        <f t="shared" si="2"/>
        <v>0.52781350482315115</v>
      </c>
      <c r="I34" s="4"/>
      <c r="J34" s="4"/>
      <c r="K34" s="4"/>
    </row>
    <row r="35" spans="1:11" s="5" customFormat="1" ht="33.75" customHeight="1" x14ac:dyDescent="0.2">
      <c r="A35" s="30" t="s">
        <v>40</v>
      </c>
      <c r="B35" s="31" t="s">
        <v>3</v>
      </c>
      <c r="C35" s="31" t="s">
        <v>39</v>
      </c>
      <c r="D35" s="31" t="s">
        <v>41</v>
      </c>
      <c r="E35" s="32"/>
      <c r="F35" s="29">
        <f>F36+F38</f>
        <v>622</v>
      </c>
      <c r="G35" s="29">
        <f t="shared" ref="G35" si="14">G36+G38</f>
        <v>328.3</v>
      </c>
      <c r="H35" s="258">
        <f t="shared" si="2"/>
        <v>0.52781350482315115</v>
      </c>
      <c r="I35" s="4"/>
      <c r="J35" s="4"/>
      <c r="K35" s="4"/>
    </row>
    <row r="36" spans="1:11" s="45" customFormat="1" ht="78.75" x14ac:dyDescent="0.2">
      <c r="A36" s="43" t="s">
        <v>23</v>
      </c>
      <c r="B36" s="31" t="s">
        <v>3</v>
      </c>
      <c r="C36" s="31" t="s">
        <v>39</v>
      </c>
      <c r="D36" s="31" t="s">
        <v>42</v>
      </c>
      <c r="E36" s="31" t="s">
        <v>43</v>
      </c>
      <c r="F36" s="29">
        <f>F37</f>
        <v>610</v>
      </c>
      <c r="G36" s="29">
        <f t="shared" ref="G36" si="15">G37</f>
        <v>322.60000000000002</v>
      </c>
      <c r="H36" s="258">
        <f t="shared" si="2"/>
        <v>0.52885245901639344</v>
      </c>
      <c r="I36" s="44"/>
      <c r="J36" s="44"/>
      <c r="K36" s="44"/>
    </row>
    <row r="37" spans="1:11" s="45" customFormat="1" ht="31.5" x14ac:dyDescent="0.2">
      <c r="A37" s="43" t="s">
        <v>24</v>
      </c>
      <c r="B37" s="31" t="s">
        <v>3</v>
      </c>
      <c r="C37" s="31" t="s">
        <v>39</v>
      </c>
      <c r="D37" s="31" t="s">
        <v>42</v>
      </c>
      <c r="E37" s="31" t="s">
        <v>44</v>
      </c>
      <c r="F37" s="29">
        <f>584.8+25.2</f>
        <v>610</v>
      </c>
      <c r="G37" s="29">
        <f>252.5+70.1</f>
        <v>322.60000000000002</v>
      </c>
      <c r="H37" s="258">
        <f t="shared" si="2"/>
        <v>0.52885245901639344</v>
      </c>
      <c r="I37" s="4"/>
      <c r="J37" s="44"/>
      <c r="K37" s="44"/>
    </row>
    <row r="38" spans="1:11" s="45" customFormat="1" ht="31.5" x14ac:dyDescent="0.2">
      <c r="A38" s="43" t="s">
        <v>25</v>
      </c>
      <c r="B38" s="31" t="s">
        <v>3</v>
      </c>
      <c r="C38" s="31" t="s">
        <v>39</v>
      </c>
      <c r="D38" s="31" t="s">
        <v>42</v>
      </c>
      <c r="E38" s="31" t="s">
        <v>36</v>
      </c>
      <c r="F38" s="29">
        <f>F39</f>
        <v>12</v>
      </c>
      <c r="G38" s="29">
        <f t="shared" ref="G38" si="16">G39</f>
        <v>5.7</v>
      </c>
      <c r="H38" s="258">
        <f t="shared" si="2"/>
        <v>0.47500000000000003</v>
      </c>
      <c r="I38" s="44"/>
      <c r="J38" s="44"/>
      <c r="K38" s="44"/>
    </row>
    <row r="39" spans="1:11" s="45" customFormat="1" ht="31.5" x14ac:dyDescent="0.2">
      <c r="A39" s="43" t="s">
        <v>26</v>
      </c>
      <c r="B39" s="31" t="s">
        <v>3</v>
      </c>
      <c r="C39" s="31" t="s">
        <v>39</v>
      </c>
      <c r="D39" s="31" t="s">
        <v>42</v>
      </c>
      <c r="E39" s="32">
        <v>240</v>
      </c>
      <c r="F39" s="29">
        <f>12</f>
        <v>12</v>
      </c>
      <c r="G39" s="29">
        <v>5.7</v>
      </c>
      <c r="H39" s="258">
        <f t="shared" si="2"/>
        <v>0.47500000000000003</v>
      </c>
      <c r="I39" s="44"/>
      <c r="J39" s="44"/>
      <c r="K39" s="44"/>
    </row>
    <row r="40" spans="1:11" s="47" customFormat="1" ht="31.5" x14ac:dyDescent="0.2">
      <c r="A40" s="18" t="s">
        <v>45</v>
      </c>
      <c r="B40" s="19" t="s">
        <v>8</v>
      </c>
      <c r="C40" s="19" t="s">
        <v>4</v>
      </c>
      <c r="D40" s="19" t="s">
        <v>4</v>
      </c>
      <c r="E40" s="19" t="s">
        <v>4</v>
      </c>
      <c r="F40" s="20">
        <f>F41+F270+F281+F289+F463+F583+F597+F640+F726+F772</f>
        <v>440658</v>
      </c>
      <c r="G40" s="20">
        <f>G41+G270+G281+G289+G463+G583+G597+G640+G726+G772-0.1</f>
        <v>271703</v>
      </c>
      <c r="H40" s="259">
        <f>G40/F40</f>
        <v>0.61658474372415795</v>
      </c>
      <c r="I40" s="46"/>
      <c r="J40" s="46"/>
      <c r="K40" s="46"/>
    </row>
    <row r="41" spans="1:11" s="45" customFormat="1" x14ac:dyDescent="0.2">
      <c r="A41" s="23" t="s">
        <v>5</v>
      </c>
      <c r="B41" s="15" t="s">
        <v>8</v>
      </c>
      <c r="C41" s="15" t="s">
        <v>6</v>
      </c>
      <c r="D41" s="24"/>
      <c r="E41" s="24"/>
      <c r="F41" s="25">
        <f>F42+F46+F131+F136+F142</f>
        <v>50677.19999999999</v>
      </c>
      <c r="G41" s="25">
        <f>G42+G46+G131+G136+G142</f>
        <v>31621.800000000003</v>
      </c>
      <c r="H41" s="258">
        <f t="shared" si="2"/>
        <v>0.62398475053870395</v>
      </c>
      <c r="I41" s="44"/>
      <c r="J41" s="44"/>
      <c r="K41" s="44"/>
    </row>
    <row r="42" spans="1:11" s="28" customFormat="1" ht="47.25" customHeight="1" x14ac:dyDescent="0.2">
      <c r="A42" s="33" t="s">
        <v>7</v>
      </c>
      <c r="B42" s="34" t="s">
        <v>8</v>
      </c>
      <c r="C42" s="34" t="s">
        <v>9</v>
      </c>
      <c r="D42" s="34"/>
      <c r="E42" s="34" t="s">
        <v>4</v>
      </c>
      <c r="F42" s="48">
        <f>F43</f>
        <v>1414.6000000000001</v>
      </c>
      <c r="G42" s="48">
        <f>G43</f>
        <v>890.4</v>
      </c>
      <c r="H42" s="258">
        <f t="shared" si="2"/>
        <v>0.62943588293510522</v>
      </c>
      <c r="I42" s="27"/>
      <c r="J42" s="27"/>
      <c r="K42" s="27"/>
    </row>
    <row r="43" spans="1:11" s="5" customFormat="1" ht="33" customHeight="1" x14ac:dyDescent="0.2">
      <c r="A43" s="38" t="s">
        <v>46</v>
      </c>
      <c r="B43" s="31" t="s">
        <v>8</v>
      </c>
      <c r="C43" s="31" t="s">
        <v>9</v>
      </c>
      <c r="D43" s="31" t="s">
        <v>47</v>
      </c>
      <c r="E43" s="32"/>
      <c r="F43" s="49">
        <f>F44+F57</f>
        <v>1414.6000000000001</v>
      </c>
      <c r="G43" s="29">
        <f>G44+G57</f>
        <v>890.4</v>
      </c>
      <c r="H43" s="258">
        <f t="shared" si="2"/>
        <v>0.62943588293510522</v>
      </c>
      <c r="I43" s="4"/>
      <c r="J43" s="4"/>
      <c r="K43" s="4"/>
    </row>
    <row r="44" spans="1:11" s="5" customFormat="1" ht="61.15" customHeight="1" x14ac:dyDescent="0.2">
      <c r="A44" s="36" t="s">
        <v>23</v>
      </c>
      <c r="B44" s="31" t="s">
        <v>8</v>
      </c>
      <c r="C44" s="31" t="s">
        <v>9</v>
      </c>
      <c r="D44" s="31" t="s">
        <v>47</v>
      </c>
      <c r="E44" s="32">
        <v>100</v>
      </c>
      <c r="F44" s="49">
        <f>F45</f>
        <v>1414.6000000000001</v>
      </c>
      <c r="G44" s="29">
        <f t="shared" ref="G44" si="17">G45</f>
        <v>890.4</v>
      </c>
      <c r="H44" s="258">
        <f t="shared" si="2"/>
        <v>0.62943588293510522</v>
      </c>
      <c r="I44" s="4"/>
      <c r="J44" s="4"/>
      <c r="K44" s="4"/>
    </row>
    <row r="45" spans="1:11" s="5" customFormat="1" ht="31.5" x14ac:dyDescent="0.2">
      <c r="A45" s="36" t="s">
        <v>24</v>
      </c>
      <c r="B45" s="31" t="s">
        <v>8</v>
      </c>
      <c r="C45" s="31" t="s">
        <v>9</v>
      </c>
      <c r="D45" s="31" t="s">
        <v>47</v>
      </c>
      <c r="E45" s="32">
        <v>120</v>
      </c>
      <c r="F45" s="49">
        <f>1344.7+57.9+12</f>
        <v>1414.6000000000001</v>
      </c>
      <c r="G45" s="29">
        <v>890.4</v>
      </c>
      <c r="H45" s="258">
        <f t="shared" si="2"/>
        <v>0.62943588293510522</v>
      </c>
      <c r="I45" s="4"/>
      <c r="J45" s="4"/>
      <c r="K45" s="4"/>
    </row>
    <row r="46" spans="1:11" s="5" customFormat="1" ht="63" x14ac:dyDescent="0.2">
      <c r="A46" s="33" t="s">
        <v>48</v>
      </c>
      <c r="B46" s="34" t="s">
        <v>8</v>
      </c>
      <c r="C46" s="34" t="s">
        <v>49</v>
      </c>
      <c r="D46" s="34"/>
      <c r="E46" s="41"/>
      <c r="F46" s="50">
        <f>F47+F59+F67+F75+F80+F88+F115+F123</f>
        <v>38241.099999999991</v>
      </c>
      <c r="G46" s="50">
        <f>G47+G59+G67+G75+G80+G88+G115+G123+0.2</f>
        <v>23715.500000000004</v>
      </c>
      <c r="H46" s="258">
        <f t="shared" si="2"/>
        <v>0.62015736995013238</v>
      </c>
      <c r="I46" s="4"/>
      <c r="J46" s="4"/>
      <c r="K46" s="4"/>
    </row>
    <row r="47" spans="1:11" s="5" customFormat="1" ht="31.5" customHeight="1" x14ac:dyDescent="0.2">
      <c r="A47" s="23" t="s">
        <v>11</v>
      </c>
      <c r="B47" s="15" t="s">
        <v>8</v>
      </c>
      <c r="C47" s="15" t="s">
        <v>49</v>
      </c>
      <c r="D47" s="15" t="s">
        <v>18</v>
      </c>
      <c r="E47" s="24"/>
      <c r="F47" s="48">
        <f>F48</f>
        <v>30235.499999999996</v>
      </c>
      <c r="G47" s="48">
        <f>G48</f>
        <v>19556</v>
      </c>
      <c r="H47" s="258">
        <f t="shared" si="2"/>
        <v>0.64678937011129312</v>
      </c>
      <c r="I47" s="4"/>
      <c r="J47" s="4"/>
      <c r="K47" s="4"/>
    </row>
    <row r="48" spans="1:11" s="5" customFormat="1" x14ac:dyDescent="0.2">
      <c r="A48" s="30" t="s">
        <v>21</v>
      </c>
      <c r="B48" s="31" t="s">
        <v>8</v>
      </c>
      <c r="C48" s="31" t="s">
        <v>49</v>
      </c>
      <c r="D48" s="31" t="s">
        <v>22</v>
      </c>
      <c r="E48" s="32"/>
      <c r="F48" s="49">
        <f>F49+F51+F53</f>
        <v>30235.499999999996</v>
      </c>
      <c r="G48" s="49">
        <f>G49+G51+G53</f>
        <v>19556</v>
      </c>
      <c r="H48" s="258">
        <f t="shared" si="2"/>
        <v>0.64678937011129312</v>
      </c>
      <c r="I48" s="4"/>
      <c r="J48" s="4"/>
      <c r="K48" s="4"/>
    </row>
    <row r="49" spans="1:11" s="5" customFormat="1" ht="33.75" customHeight="1" x14ac:dyDescent="0.2">
      <c r="A49" s="36" t="s">
        <v>23</v>
      </c>
      <c r="B49" s="31" t="s">
        <v>8</v>
      </c>
      <c r="C49" s="31" t="s">
        <v>49</v>
      </c>
      <c r="D49" s="31" t="s">
        <v>22</v>
      </c>
      <c r="E49" s="32">
        <v>100</v>
      </c>
      <c r="F49" s="49">
        <f>F50</f>
        <v>25505.199999999997</v>
      </c>
      <c r="G49" s="49">
        <f>G50</f>
        <v>16950.899999999998</v>
      </c>
      <c r="H49" s="258">
        <f t="shared" si="2"/>
        <v>0.66460564904411645</v>
      </c>
      <c r="I49" s="4"/>
      <c r="J49" s="4"/>
      <c r="K49" s="4"/>
    </row>
    <row r="50" spans="1:11" s="5" customFormat="1" ht="31.5" x14ac:dyDescent="0.2">
      <c r="A50" s="36" t="s">
        <v>24</v>
      </c>
      <c r="B50" s="31" t="s">
        <v>8</v>
      </c>
      <c r="C50" s="31" t="s">
        <v>49</v>
      </c>
      <c r="D50" s="31" t="s">
        <v>22</v>
      </c>
      <c r="E50" s="32">
        <v>120</v>
      </c>
      <c r="F50" s="51">
        <f>26078.7-1344.7+724.1+47.1</f>
        <v>25505.199999999997</v>
      </c>
      <c r="G50" s="29">
        <f>13220.3+9+3721.6</f>
        <v>16950.899999999998</v>
      </c>
      <c r="H50" s="258">
        <f t="shared" si="2"/>
        <v>0.66460564904411645</v>
      </c>
      <c r="I50" s="4"/>
      <c r="J50" s="4"/>
      <c r="K50" s="4"/>
    </row>
    <row r="51" spans="1:11" s="5" customFormat="1" ht="31.5" x14ac:dyDescent="0.2">
      <c r="A51" s="38" t="s">
        <v>25</v>
      </c>
      <c r="B51" s="31" t="s">
        <v>8</v>
      </c>
      <c r="C51" s="31" t="s">
        <v>49</v>
      </c>
      <c r="D51" s="31" t="s">
        <v>22</v>
      </c>
      <c r="E51" s="32">
        <v>200</v>
      </c>
      <c r="F51" s="51">
        <f>F52</f>
        <v>4638.3</v>
      </c>
      <c r="G51" s="29">
        <f t="shared" ref="G51" si="18">G52</f>
        <v>2592.1999999999998</v>
      </c>
      <c r="H51" s="258">
        <f t="shared" si="2"/>
        <v>0.55886855097772881</v>
      </c>
      <c r="I51" s="4"/>
      <c r="J51" s="4"/>
      <c r="K51" s="4"/>
    </row>
    <row r="52" spans="1:11" s="5" customFormat="1" ht="31.5" x14ac:dyDescent="0.2">
      <c r="A52" s="36" t="s">
        <v>26</v>
      </c>
      <c r="B52" s="31" t="s">
        <v>8</v>
      </c>
      <c r="C52" s="31" t="s">
        <v>49</v>
      </c>
      <c r="D52" s="31" t="s">
        <v>22</v>
      </c>
      <c r="E52" s="32">
        <v>240</v>
      </c>
      <c r="F52" s="51">
        <f>4413.6+224.7</f>
        <v>4638.3</v>
      </c>
      <c r="G52" s="29">
        <v>2592.1999999999998</v>
      </c>
      <c r="H52" s="258">
        <f t="shared" si="2"/>
        <v>0.55886855097772881</v>
      </c>
      <c r="I52" s="4"/>
      <c r="J52" s="4"/>
      <c r="K52" s="4"/>
    </row>
    <row r="53" spans="1:11" s="5" customFormat="1" x14ac:dyDescent="0.2">
      <c r="A53" s="36" t="s">
        <v>29</v>
      </c>
      <c r="B53" s="31" t="s">
        <v>8</v>
      </c>
      <c r="C53" s="31" t="s">
        <v>49</v>
      </c>
      <c r="D53" s="31" t="s">
        <v>22</v>
      </c>
      <c r="E53" s="32">
        <v>800</v>
      </c>
      <c r="F53" s="49">
        <f>F55+F56</f>
        <v>92</v>
      </c>
      <c r="G53" s="29">
        <f t="shared" ref="G53" si="19">G55+G56</f>
        <v>12.9</v>
      </c>
      <c r="H53" s="258">
        <f t="shared" si="2"/>
        <v>0.14021739130434782</v>
      </c>
      <c r="I53" s="4"/>
      <c r="J53" s="4"/>
      <c r="K53" s="4"/>
    </row>
    <row r="54" spans="1:11" s="5" customFormat="1" hidden="1" x14ac:dyDescent="0.2">
      <c r="A54" s="36" t="s">
        <v>30</v>
      </c>
      <c r="B54" s="31" t="s">
        <v>8</v>
      </c>
      <c r="C54" s="31" t="s">
        <v>49</v>
      </c>
      <c r="D54" s="31" t="s">
        <v>22</v>
      </c>
      <c r="E54" s="32">
        <v>830</v>
      </c>
      <c r="F54" s="49"/>
      <c r="G54" s="29"/>
      <c r="H54" s="258" t="e">
        <f t="shared" si="2"/>
        <v>#DIV/0!</v>
      </c>
      <c r="I54" s="4"/>
      <c r="J54" s="4"/>
      <c r="K54" s="4"/>
    </row>
    <row r="55" spans="1:11" s="5" customFormat="1" x14ac:dyDescent="0.2">
      <c r="A55" s="36" t="s">
        <v>31</v>
      </c>
      <c r="B55" s="31" t="s">
        <v>8</v>
      </c>
      <c r="C55" s="31" t="s">
        <v>49</v>
      </c>
      <c r="D55" s="31" t="s">
        <v>22</v>
      </c>
      <c r="E55" s="32">
        <v>850</v>
      </c>
      <c r="F55" s="49">
        <v>92</v>
      </c>
      <c r="G55" s="29">
        <f>1.6+11.3</f>
        <v>12.9</v>
      </c>
      <c r="H55" s="258">
        <f t="shared" si="2"/>
        <v>0.14021739130434782</v>
      </c>
      <c r="I55" s="4"/>
      <c r="J55" s="4"/>
      <c r="K55" s="4"/>
    </row>
    <row r="56" spans="1:11" s="5" customFormat="1" hidden="1" x14ac:dyDescent="0.2">
      <c r="A56" s="36" t="s">
        <v>50</v>
      </c>
      <c r="B56" s="31" t="s">
        <v>8</v>
      </c>
      <c r="C56" s="31" t="s">
        <v>49</v>
      </c>
      <c r="D56" s="31" t="s">
        <v>22</v>
      </c>
      <c r="E56" s="32">
        <v>870</v>
      </c>
      <c r="F56" s="49">
        <f>63.4-63.4</f>
        <v>0</v>
      </c>
      <c r="G56" s="29">
        <f t="shared" ref="G56" si="20">63.4-63.4</f>
        <v>0</v>
      </c>
      <c r="H56" s="258" t="e">
        <f t="shared" si="2"/>
        <v>#DIV/0!</v>
      </c>
      <c r="I56" s="4"/>
      <c r="J56" s="4"/>
      <c r="K56" s="4"/>
    </row>
    <row r="57" spans="1:11" s="5" customFormat="1" ht="31.5" hidden="1" x14ac:dyDescent="0.2">
      <c r="A57" s="38" t="s">
        <v>25</v>
      </c>
      <c r="B57" s="31" t="s">
        <v>8</v>
      </c>
      <c r="C57" s="31" t="s">
        <v>49</v>
      </c>
      <c r="D57" s="31" t="s">
        <v>47</v>
      </c>
      <c r="E57" s="32">
        <v>200</v>
      </c>
      <c r="F57" s="49">
        <f>F58</f>
        <v>0</v>
      </c>
      <c r="G57" s="29">
        <f t="shared" ref="G57" si="21">G58</f>
        <v>0</v>
      </c>
      <c r="H57" s="258" t="e">
        <f t="shared" si="2"/>
        <v>#DIV/0!</v>
      </c>
      <c r="I57" s="4"/>
      <c r="J57" s="4"/>
      <c r="K57" s="4"/>
    </row>
    <row r="58" spans="1:11" s="5" customFormat="1" ht="33" hidden="1" customHeight="1" x14ac:dyDescent="0.2">
      <c r="A58" s="36" t="s">
        <v>26</v>
      </c>
      <c r="B58" s="31" t="s">
        <v>8</v>
      </c>
      <c r="C58" s="31" t="s">
        <v>49</v>
      </c>
      <c r="D58" s="31" t="s">
        <v>47</v>
      </c>
      <c r="E58" s="32">
        <v>240</v>
      </c>
      <c r="F58" s="49">
        <v>0</v>
      </c>
      <c r="G58" s="29">
        <v>0</v>
      </c>
      <c r="H58" s="258" t="e">
        <f t="shared" si="2"/>
        <v>#DIV/0!</v>
      </c>
      <c r="I58" s="4"/>
      <c r="J58" s="4"/>
      <c r="K58" s="4"/>
    </row>
    <row r="59" spans="1:11" s="56" customFormat="1" ht="54" customHeight="1" x14ac:dyDescent="0.2">
      <c r="A59" s="52" t="s">
        <v>51</v>
      </c>
      <c r="B59" s="53" t="s">
        <v>8</v>
      </c>
      <c r="C59" s="53" t="s">
        <v>49</v>
      </c>
      <c r="D59" s="53" t="s">
        <v>52</v>
      </c>
      <c r="E59" s="54"/>
      <c r="F59" s="48">
        <f>F60</f>
        <v>18</v>
      </c>
      <c r="G59" s="48">
        <f t="shared" ref="G59:G61" si="22">G60</f>
        <v>9.8999999999999986</v>
      </c>
      <c r="H59" s="258">
        <f t="shared" si="2"/>
        <v>0.54999999999999993</v>
      </c>
      <c r="I59" s="55"/>
      <c r="J59" s="55"/>
      <c r="K59" s="55"/>
    </row>
    <row r="60" spans="1:11" s="56" customFormat="1" ht="47.25" x14ac:dyDescent="0.2">
      <c r="A60" s="57" t="s">
        <v>53</v>
      </c>
      <c r="B60" s="58" t="s">
        <v>8</v>
      </c>
      <c r="C60" s="58" t="s">
        <v>49</v>
      </c>
      <c r="D60" s="58" t="s">
        <v>54</v>
      </c>
      <c r="E60" s="59"/>
      <c r="F60" s="49">
        <f>F61</f>
        <v>18</v>
      </c>
      <c r="G60" s="49">
        <f t="shared" si="22"/>
        <v>9.8999999999999986</v>
      </c>
      <c r="H60" s="258">
        <f t="shared" si="2"/>
        <v>0.54999999999999993</v>
      </c>
      <c r="I60" s="55"/>
      <c r="J60" s="55"/>
      <c r="K60" s="55"/>
    </row>
    <row r="61" spans="1:11" s="56" customFormat="1" ht="141.75" x14ac:dyDescent="0.2">
      <c r="A61" s="57" t="s">
        <v>55</v>
      </c>
      <c r="B61" s="58" t="s">
        <v>8</v>
      </c>
      <c r="C61" s="58" t="s">
        <v>49</v>
      </c>
      <c r="D61" s="58" t="s">
        <v>56</v>
      </c>
      <c r="E61" s="59"/>
      <c r="F61" s="49">
        <f>F62</f>
        <v>18</v>
      </c>
      <c r="G61" s="49">
        <f t="shared" si="22"/>
        <v>9.8999999999999986</v>
      </c>
      <c r="H61" s="258">
        <f t="shared" si="2"/>
        <v>0.54999999999999993</v>
      </c>
      <c r="I61" s="55"/>
      <c r="J61" s="55"/>
      <c r="K61" s="55"/>
    </row>
    <row r="62" spans="1:11" s="56" customFormat="1" ht="110.25" x14ac:dyDescent="0.2">
      <c r="A62" s="57" t="s">
        <v>57</v>
      </c>
      <c r="B62" s="58" t="s">
        <v>8</v>
      </c>
      <c r="C62" s="58" t="s">
        <v>49</v>
      </c>
      <c r="D62" s="58" t="s">
        <v>58</v>
      </c>
      <c r="E62" s="59"/>
      <c r="F62" s="49">
        <f>F63+F65</f>
        <v>18</v>
      </c>
      <c r="G62" s="49">
        <f t="shared" ref="G62" si="23">G63+G65</f>
        <v>9.8999999999999986</v>
      </c>
      <c r="H62" s="258">
        <f t="shared" si="2"/>
        <v>0.54999999999999993</v>
      </c>
      <c r="I62" s="55"/>
      <c r="J62" s="55"/>
      <c r="K62" s="55"/>
    </row>
    <row r="63" spans="1:11" s="60" customFormat="1" ht="78.75" x14ac:dyDescent="0.2">
      <c r="A63" s="57" t="s">
        <v>23</v>
      </c>
      <c r="B63" s="58" t="s">
        <v>8</v>
      </c>
      <c r="C63" s="58" t="s">
        <v>49</v>
      </c>
      <c r="D63" s="58" t="s">
        <v>58</v>
      </c>
      <c r="E63" s="59">
        <v>100</v>
      </c>
      <c r="F63" s="49">
        <f>F64</f>
        <v>16.399999999999999</v>
      </c>
      <c r="G63" s="49">
        <f t="shared" ref="G63" si="24">G64</f>
        <v>9.8999999999999986</v>
      </c>
      <c r="H63" s="258">
        <f t="shared" si="2"/>
        <v>0.60365853658536583</v>
      </c>
      <c r="I63" s="26"/>
      <c r="J63" s="26"/>
      <c r="K63" s="26"/>
    </row>
    <row r="64" spans="1:11" s="56" customFormat="1" ht="31.5" x14ac:dyDescent="0.2">
      <c r="A64" s="57" t="s">
        <v>24</v>
      </c>
      <c r="B64" s="58" t="s">
        <v>8</v>
      </c>
      <c r="C64" s="58" t="s">
        <v>49</v>
      </c>
      <c r="D64" s="58" t="s">
        <v>58</v>
      </c>
      <c r="E64" s="58" t="s">
        <v>44</v>
      </c>
      <c r="F64" s="49">
        <f>15.5+0.9</f>
        <v>16.399999999999999</v>
      </c>
      <c r="G64" s="49">
        <f>7.6+2.3</f>
        <v>9.8999999999999986</v>
      </c>
      <c r="H64" s="258">
        <f t="shared" si="2"/>
        <v>0.60365853658536583</v>
      </c>
      <c r="I64" s="55"/>
      <c r="J64" s="55"/>
      <c r="K64" s="55"/>
    </row>
    <row r="65" spans="1:11" s="56" customFormat="1" ht="31.5" x14ac:dyDescent="0.2">
      <c r="A65" s="57" t="s">
        <v>25</v>
      </c>
      <c r="B65" s="58" t="s">
        <v>8</v>
      </c>
      <c r="C65" s="58" t="s">
        <v>49</v>
      </c>
      <c r="D65" s="58" t="s">
        <v>58</v>
      </c>
      <c r="E65" s="58" t="s">
        <v>36</v>
      </c>
      <c r="F65" s="49">
        <f>F66</f>
        <v>1.6</v>
      </c>
      <c r="G65" s="49">
        <f t="shared" ref="G65" si="25">G66</f>
        <v>0</v>
      </c>
      <c r="H65" s="258">
        <f t="shared" si="2"/>
        <v>0</v>
      </c>
      <c r="I65" s="55"/>
      <c r="J65" s="55"/>
      <c r="K65" s="55"/>
    </row>
    <row r="66" spans="1:11" s="56" customFormat="1" ht="31.5" x14ac:dyDescent="0.2">
      <c r="A66" s="57" t="s">
        <v>26</v>
      </c>
      <c r="B66" s="58" t="s">
        <v>8</v>
      </c>
      <c r="C66" s="58" t="s">
        <v>49</v>
      </c>
      <c r="D66" s="58" t="s">
        <v>58</v>
      </c>
      <c r="E66" s="59">
        <v>240</v>
      </c>
      <c r="F66" s="49">
        <f>1.5+0.1</f>
        <v>1.6</v>
      </c>
      <c r="G66" s="49">
        <v>0</v>
      </c>
      <c r="H66" s="258">
        <f t="shared" si="2"/>
        <v>0</v>
      </c>
      <c r="I66" s="55"/>
      <c r="J66" s="55"/>
      <c r="K66" s="55"/>
    </row>
    <row r="67" spans="1:11" s="56" customFormat="1" ht="63" x14ac:dyDescent="0.2">
      <c r="A67" s="52" t="s">
        <v>59</v>
      </c>
      <c r="B67" s="53" t="s">
        <v>8</v>
      </c>
      <c r="C67" s="53" t="s">
        <v>49</v>
      </c>
      <c r="D67" s="53" t="s">
        <v>60</v>
      </c>
      <c r="E67" s="53"/>
      <c r="F67" s="48">
        <f>F68</f>
        <v>1.8</v>
      </c>
      <c r="G67" s="48">
        <f t="shared" ref="G67:G69" si="26">G68</f>
        <v>0</v>
      </c>
      <c r="H67" s="258">
        <f t="shared" si="2"/>
        <v>0</v>
      </c>
      <c r="I67" s="55"/>
      <c r="J67" s="55"/>
      <c r="K67" s="55"/>
    </row>
    <row r="68" spans="1:11" s="56" customFormat="1" ht="31.5" x14ac:dyDescent="0.2">
      <c r="A68" s="61" t="s">
        <v>61</v>
      </c>
      <c r="B68" s="58" t="s">
        <v>8</v>
      </c>
      <c r="C68" s="58" t="s">
        <v>49</v>
      </c>
      <c r="D68" s="58" t="s">
        <v>62</v>
      </c>
      <c r="E68" s="58"/>
      <c r="F68" s="49">
        <f>F69</f>
        <v>1.8</v>
      </c>
      <c r="G68" s="49">
        <f t="shared" si="26"/>
        <v>0</v>
      </c>
      <c r="H68" s="258">
        <f t="shared" si="2"/>
        <v>0</v>
      </c>
      <c r="I68" s="55"/>
      <c r="J68" s="55"/>
      <c r="K68" s="55"/>
    </row>
    <row r="69" spans="1:11" s="56" customFormat="1" ht="63" x14ac:dyDescent="0.2">
      <c r="A69" s="61" t="s">
        <v>63</v>
      </c>
      <c r="B69" s="58" t="s">
        <v>8</v>
      </c>
      <c r="C69" s="58" t="s">
        <v>49</v>
      </c>
      <c r="D69" s="58" t="s">
        <v>64</v>
      </c>
      <c r="E69" s="59"/>
      <c r="F69" s="49">
        <f>F70</f>
        <v>1.8</v>
      </c>
      <c r="G69" s="49">
        <f t="shared" si="26"/>
        <v>0</v>
      </c>
      <c r="H69" s="258">
        <f t="shared" si="2"/>
        <v>0</v>
      </c>
      <c r="I69" s="55"/>
      <c r="J69" s="55"/>
      <c r="K69" s="55"/>
    </row>
    <row r="70" spans="1:11" s="56" customFormat="1" ht="114.75" customHeight="1" x14ac:dyDescent="0.2">
      <c r="A70" s="62" t="s">
        <v>65</v>
      </c>
      <c r="B70" s="58" t="s">
        <v>8</v>
      </c>
      <c r="C70" s="58" t="s">
        <v>49</v>
      </c>
      <c r="D70" s="58" t="s">
        <v>66</v>
      </c>
      <c r="E70" s="59"/>
      <c r="F70" s="49">
        <f>F71+F73</f>
        <v>1.8</v>
      </c>
      <c r="G70" s="49">
        <f t="shared" ref="G70" si="27">G71+G73</f>
        <v>0</v>
      </c>
      <c r="H70" s="258">
        <f t="shared" si="2"/>
        <v>0</v>
      </c>
      <c r="I70" s="55"/>
      <c r="J70" s="55"/>
      <c r="K70" s="55"/>
    </row>
    <row r="71" spans="1:11" s="60" customFormat="1" ht="65.45" customHeight="1" x14ac:dyDescent="0.2">
      <c r="A71" s="63" t="s">
        <v>23</v>
      </c>
      <c r="B71" s="58" t="s">
        <v>8</v>
      </c>
      <c r="C71" s="58" t="s">
        <v>49</v>
      </c>
      <c r="D71" s="58" t="s">
        <v>66</v>
      </c>
      <c r="E71" s="59">
        <v>100</v>
      </c>
      <c r="F71" s="49">
        <f>F72</f>
        <v>1.6</v>
      </c>
      <c r="G71" s="49">
        <f t="shared" ref="G71" si="28">G72</f>
        <v>0</v>
      </c>
      <c r="H71" s="258">
        <f t="shared" si="2"/>
        <v>0</v>
      </c>
      <c r="I71" s="26"/>
      <c r="J71" s="26"/>
      <c r="K71" s="26"/>
    </row>
    <row r="72" spans="1:11" s="56" customFormat="1" ht="31.5" x14ac:dyDescent="0.2">
      <c r="A72" s="63" t="s">
        <v>24</v>
      </c>
      <c r="B72" s="58" t="s">
        <v>8</v>
      </c>
      <c r="C72" s="58" t="s">
        <v>49</v>
      </c>
      <c r="D72" s="58" t="s">
        <v>66</v>
      </c>
      <c r="E72" s="58" t="s">
        <v>44</v>
      </c>
      <c r="F72" s="49">
        <f>1.5+0.1</f>
        <v>1.6</v>
      </c>
      <c r="G72" s="49">
        <v>0</v>
      </c>
      <c r="H72" s="258">
        <f t="shared" si="2"/>
        <v>0</v>
      </c>
      <c r="I72" s="55"/>
      <c r="J72" s="55"/>
      <c r="K72" s="55"/>
    </row>
    <row r="73" spans="1:11" s="56" customFormat="1" ht="31.5" x14ac:dyDescent="0.2">
      <c r="A73" s="61" t="s">
        <v>25</v>
      </c>
      <c r="B73" s="58" t="s">
        <v>8</v>
      </c>
      <c r="C73" s="58" t="s">
        <v>49</v>
      </c>
      <c r="D73" s="58" t="s">
        <v>66</v>
      </c>
      <c r="E73" s="58" t="s">
        <v>36</v>
      </c>
      <c r="F73" s="49">
        <f>F74</f>
        <v>0.2</v>
      </c>
      <c r="G73" s="49">
        <f t="shared" ref="G73" si="29">G74</f>
        <v>0</v>
      </c>
      <c r="H73" s="258">
        <f t="shared" si="2"/>
        <v>0</v>
      </c>
      <c r="I73" s="55"/>
      <c r="J73" s="55"/>
      <c r="K73" s="55"/>
    </row>
    <row r="74" spans="1:11" s="56" customFormat="1" ht="31.5" x14ac:dyDescent="0.2">
      <c r="A74" s="63" t="s">
        <v>26</v>
      </c>
      <c r="B74" s="58" t="s">
        <v>8</v>
      </c>
      <c r="C74" s="58" t="s">
        <v>49</v>
      </c>
      <c r="D74" s="58" t="s">
        <v>66</v>
      </c>
      <c r="E74" s="59">
        <v>240</v>
      </c>
      <c r="F74" s="49">
        <v>0.2</v>
      </c>
      <c r="G74" s="49">
        <v>0</v>
      </c>
      <c r="H74" s="258">
        <f t="shared" ref="H74:H137" si="30">G74/F74</f>
        <v>0</v>
      </c>
      <c r="I74" s="55"/>
      <c r="J74" s="55"/>
      <c r="K74" s="55"/>
    </row>
    <row r="75" spans="1:11" s="56" customFormat="1" x14ac:dyDescent="0.2">
      <c r="A75" s="64" t="s">
        <v>67</v>
      </c>
      <c r="B75" s="53" t="s">
        <v>8</v>
      </c>
      <c r="C75" s="53" t="s">
        <v>49</v>
      </c>
      <c r="D75" s="53" t="s">
        <v>68</v>
      </c>
      <c r="E75" s="53" t="s">
        <v>4</v>
      </c>
      <c r="F75" s="65">
        <f>F76</f>
        <v>161</v>
      </c>
      <c r="G75" s="65">
        <f t="shared" ref="G75:G78" si="31">G76</f>
        <v>161</v>
      </c>
      <c r="H75" s="258">
        <f t="shared" si="30"/>
        <v>1</v>
      </c>
      <c r="I75" s="55"/>
      <c r="J75" s="55"/>
      <c r="K75" s="55"/>
    </row>
    <row r="76" spans="1:11" s="56" customFormat="1" x14ac:dyDescent="0.2">
      <c r="A76" s="63" t="s">
        <v>33</v>
      </c>
      <c r="B76" s="58" t="s">
        <v>8</v>
      </c>
      <c r="C76" s="58" t="s">
        <v>49</v>
      </c>
      <c r="D76" s="58" t="s">
        <v>69</v>
      </c>
      <c r="E76" s="58" t="s">
        <v>4</v>
      </c>
      <c r="F76" s="66">
        <f>F77</f>
        <v>161</v>
      </c>
      <c r="G76" s="66">
        <f t="shared" si="31"/>
        <v>161</v>
      </c>
      <c r="H76" s="258">
        <f t="shared" si="30"/>
        <v>1</v>
      </c>
      <c r="I76" s="55"/>
      <c r="J76" s="55"/>
      <c r="K76" s="55"/>
    </row>
    <row r="77" spans="1:11" s="56" customFormat="1" ht="31.5" x14ac:dyDescent="0.2">
      <c r="A77" s="67" t="s">
        <v>70</v>
      </c>
      <c r="B77" s="68" t="s">
        <v>8</v>
      </c>
      <c r="C77" s="58" t="s">
        <v>49</v>
      </c>
      <c r="D77" s="68" t="s">
        <v>71</v>
      </c>
      <c r="E77" s="68"/>
      <c r="F77" s="69">
        <f>F78</f>
        <v>161</v>
      </c>
      <c r="G77" s="69">
        <f t="shared" si="31"/>
        <v>161</v>
      </c>
      <c r="H77" s="258">
        <f t="shared" si="30"/>
        <v>1</v>
      </c>
      <c r="I77" s="55"/>
      <c r="J77" s="55"/>
      <c r="K77" s="55"/>
    </row>
    <row r="78" spans="1:11" s="56" customFormat="1" ht="31.5" x14ac:dyDescent="0.2">
      <c r="A78" s="43" t="s">
        <v>25</v>
      </c>
      <c r="B78" s="58" t="s">
        <v>8</v>
      </c>
      <c r="C78" s="58" t="s">
        <v>49</v>
      </c>
      <c r="D78" s="58" t="s">
        <v>71</v>
      </c>
      <c r="E78" s="58" t="s">
        <v>36</v>
      </c>
      <c r="F78" s="66">
        <f>F79</f>
        <v>161</v>
      </c>
      <c r="G78" s="69">
        <f t="shared" si="31"/>
        <v>161</v>
      </c>
      <c r="H78" s="258">
        <f t="shared" si="30"/>
        <v>1</v>
      </c>
      <c r="I78" s="55"/>
      <c r="J78" s="55"/>
      <c r="K78" s="55"/>
    </row>
    <row r="79" spans="1:11" s="56" customFormat="1" ht="31.5" x14ac:dyDescent="0.2">
      <c r="A79" s="43" t="s">
        <v>26</v>
      </c>
      <c r="B79" s="58" t="s">
        <v>8</v>
      </c>
      <c r="C79" s="58" t="s">
        <v>49</v>
      </c>
      <c r="D79" s="58" t="s">
        <v>71</v>
      </c>
      <c r="E79" s="58" t="s">
        <v>37</v>
      </c>
      <c r="F79" s="66">
        <v>161</v>
      </c>
      <c r="G79" s="69">
        <v>161</v>
      </c>
      <c r="H79" s="258">
        <f t="shared" si="30"/>
        <v>1</v>
      </c>
      <c r="I79" s="55"/>
      <c r="J79" s="55"/>
      <c r="K79" s="55"/>
    </row>
    <row r="80" spans="1:11" s="56" customFormat="1" ht="31.5" x14ac:dyDescent="0.2">
      <c r="A80" s="70" t="s">
        <v>72</v>
      </c>
      <c r="B80" s="53" t="s">
        <v>8</v>
      </c>
      <c r="C80" s="53" t="s">
        <v>49</v>
      </c>
      <c r="D80" s="53" t="s">
        <v>73</v>
      </c>
      <c r="E80" s="54"/>
      <c r="F80" s="48">
        <f>F81</f>
        <v>113.8</v>
      </c>
      <c r="G80" s="48">
        <f t="shared" ref="G80:G82" si="32">G81</f>
        <v>60.3</v>
      </c>
      <c r="H80" s="258">
        <f t="shared" si="30"/>
        <v>0.52987697715289983</v>
      </c>
      <c r="I80" s="55"/>
      <c r="J80" s="55"/>
      <c r="K80" s="55"/>
    </row>
    <row r="81" spans="1:11" s="56" customFormat="1" ht="31.5" x14ac:dyDescent="0.2">
      <c r="A81" s="57" t="s">
        <v>74</v>
      </c>
      <c r="B81" s="58" t="s">
        <v>8</v>
      </c>
      <c r="C81" s="58" t="s">
        <v>49</v>
      </c>
      <c r="D81" s="58" t="s">
        <v>75</v>
      </c>
      <c r="E81" s="59"/>
      <c r="F81" s="49">
        <f>F82</f>
        <v>113.8</v>
      </c>
      <c r="G81" s="49">
        <f t="shared" si="32"/>
        <v>60.3</v>
      </c>
      <c r="H81" s="258">
        <f t="shared" si="30"/>
        <v>0.52987697715289983</v>
      </c>
      <c r="I81" s="55"/>
      <c r="J81" s="55"/>
      <c r="K81" s="55"/>
    </row>
    <row r="82" spans="1:11" s="56" customFormat="1" ht="47.25" x14ac:dyDescent="0.2">
      <c r="A82" s="57" t="s">
        <v>76</v>
      </c>
      <c r="B82" s="58" t="s">
        <v>8</v>
      </c>
      <c r="C82" s="58" t="s">
        <v>49</v>
      </c>
      <c r="D82" s="58" t="s">
        <v>77</v>
      </c>
      <c r="E82" s="59"/>
      <c r="F82" s="49">
        <f>F83</f>
        <v>113.8</v>
      </c>
      <c r="G82" s="49">
        <f t="shared" si="32"/>
        <v>60.3</v>
      </c>
      <c r="H82" s="258">
        <f t="shared" si="30"/>
        <v>0.52987697715289983</v>
      </c>
      <c r="I82" s="55"/>
      <c r="J82" s="55"/>
      <c r="K82" s="55"/>
    </row>
    <row r="83" spans="1:11" s="56" customFormat="1" ht="63" x14ac:dyDescent="0.2">
      <c r="A83" s="57" t="s">
        <v>78</v>
      </c>
      <c r="B83" s="58" t="s">
        <v>8</v>
      </c>
      <c r="C83" s="58" t="s">
        <v>49</v>
      </c>
      <c r="D83" s="58" t="s">
        <v>79</v>
      </c>
      <c r="E83" s="59"/>
      <c r="F83" s="49">
        <f>F84+F86</f>
        <v>113.8</v>
      </c>
      <c r="G83" s="49">
        <f t="shared" ref="G83" si="33">G84+G86</f>
        <v>60.3</v>
      </c>
      <c r="H83" s="258">
        <f t="shared" si="30"/>
        <v>0.52987697715289983</v>
      </c>
      <c r="I83" s="55"/>
      <c r="J83" s="55"/>
      <c r="K83" s="55"/>
    </row>
    <row r="84" spans="1:11" s="60" customFormat="1" ht="78.75" x14ac:dyDescent="0.2">
      <c r="A84" s="57" t="s">
        <v>23</v>
      </c>
      <c r="B84" s="58" t="s">
        <v>8</v>
      </c>
      <c r="C84" s="58" t="s">
        <v>49</v>
      </c>
      <c r="D84" s="58" t="s">
        <v>79</v>
      </c>
      <c r="E84" s="59">
        <v>100</v>
      </c>
      <c r="F84" s="49">
        <f>F85</f>
        <v>100.7</v>
      </c>
      <c r="G84" s="49">
        <f t="shared" ref="G84" si="34">G85</f>
        <v>60.3</v>
      </c>
      <c r="H84" s="258">
        <f t="shared" si="30"/>
        <v>0.59880834160873875</v>
      </c>
      <c r="I84" s="26"/>
      <c r="J84" s="26"/>
      <c r="K84" s="26"/>
    </row>
    <row r="85" spans="1:11" s="56" customFormat="1" ht="31.5" x14ac:dyDescent="0.2">
      <c r="A85" s="57" t="s">
        <v>24</v>
      </c>
      <c r="B85" s="58" t="s">
        <v>8</v>
      </c>
      <c r="C85" s="58" t="s">
        <v>49</v>
      </c>
      <c r="D85" s="58" t="s">
        <v>79</v>
      </c>
      <c r="E85" s="58" t="s">
        <v>44</v>
      </c>
      <c r="F85" s="49">
        <f>96.5+4.2</f>
        <v>100.7</v>
      </c>
      <c r="G85" s="49">
        <f>46.3+14</f>
        <v>60.3</v>
      </c>
      <c r="H85" s="258">
        <f t="shared" si="30"/>
        <v>0.59880834160873875</v>
      </c>
      <c r="I85" s="55"/>
      <c r="J85" s="55"/>
      <c r="K85" s="55"/>
    </row>
    <row r="86" spans="1:11" s="56" customFormat="1" ht="31.5" x14ac:dyDescent="0.2">
      <c r="A86" s="57" t="s">
        <v>25</v>
      </c>
      <c r="B86" s="58" t="s">
        <v>8</v>
      </c>
      <c r="C86" s="58" t="s">
        <v>49</v>
      </c>
      <c r="D86" s="58" t="s">
        <v>79</v>
      </c>
      <c r="E86" s="58" t="s">
        <v>36</v>
      </c>
      <c r="F86" s="49">
        <f>F87</f>
        <v>13.1</v>
      </c>
      <c r="G86" s="49">
        <f t="shared" ref="G86" si="35">G87</f>
        <v>0</v>
      </c>
      <c r="H86" s="258">
        <f t="shared" si="30"/>
        <v>0</v>
      </c>
      <c r="I86" s="55"/>
      <c r="J86" s="55"/>
      <c r="K86" s="55"/>
    </row>
    <row r="87" spans="1:11" s="56" customFormat="1" ht="31.5" x14ac:dyDescent="0.2">
      <c r="A87" s="57" t="s">
        <v>26</v>
      </c>
      <c r="B87" s="58" t="s">
        <v>8</v>
      </c>
      <c r="C87" s="58" t="s">
        <v>49</v>
      </c>
      <c r="D87" s="58" t="s">
        <v>79</v>
      </c>
      <c r="E87" s="59">
        <v>240</v>
      </c>
      <c r="F87" s="49">
        <f>12.6+0.5</f>
        <v>13.1</v>
      </c>
      <c r="G87" s="49">
        <v>0</v>
      </c>
      <c r="H87" s="258">
        <f t="shared" si="30"/>
        <v>0</v>
      </c>
      <c r="I87" s="55"/>
      <c r="J87" s="55"/>
      <c r="K87" s="55"/>
    </row>
    <row r="88" spans="1:11" s="56" customFormat="1" ht="31.5" x14ac:dyDescent="0.2">
      <c r="A88" s="70" t="s">
        <v>80</v>
      </c>
      <c r="B88" s="53" t="s">
        <v>8</v>
      </c>
      <c r="C88" s="53" t="s">
        <v>49</v>
      </c>
      <c r="D88" s="53" t="s">
        <v>81</v>
      </c>
      <c r="E88" s="54"/>
      <c r="F88" s="48">
        <f>F102+F89</f>
        <v>7241.9</v>
      </c>
      <c r="G88" s="48">
        <f>G102+G89</f>
        <v>3597.1000000000004</v>
      </c>
      <c r="H88" s="258">
        <f t="shared" si="30"/>
        <v>0.4967066653778705</v>
      </c>
      <c r="I88" s="55"/>
      <c r="J88" s="55"/>
      <c r="K88" s="55"/>
    </row>
    <row r="89" spans="1:11" s="56" customFormat="1" ht="31.5" x14ac:dyDescent="0.2">
      <c r="A89" s="57" t="s">
        <v>82</v>
      </c>
      <c r="B89" s="58" t="s">
        <v>8</v>
      </c>
      <c r="C89" s="58" t="s">
        <v>49</v>
      </c>
      <c r="D89" s="58" t="s">
        <v>83</v>
      </c>
      <c r="E89" s="54"/>
      <c r="F89" s="49">
        <f>F96+F90</f>
        <v>3755.5</v>
      </c>
      <c r="G89" s="49">
        <f>G96+G90</f>
        <v>1472.7</v>
      </c>
      <c r="H89" s="258">
        <f t="shared" si="30"/>
        <v>0.39214485421381973</v>
      </c>
      <c r="I89" s="55"/>
      <c r="J89" s="55"/>
      <c r="K89" s="55"/>
    </row>
    <row r="90" spans="1:11" s="56" customFormat="1" ht="63" x14ac:dyDescent="0.2">
      <c r="A90" s="57" t="s">
        <v>84</v>
      </c>
      <c r="B90" s="58" t="s">
        <v>8</v>
      </c>
      <c r="C90" s="58" t="s">
        <v>49</v>
      </c>
      <c r="D90" s="58" t="s">
        <v>85</v>
      </c>
      <c r="E90" s="54"/>
      <c r="F90" s="49">
        <f>F91</f>
        <v>3742.9</v>
      </c>
      <c r="G90" s="49">
        <f>G91</f>
        <v>1472.7</v>
      </c>
      <c r="H90" s="258">
        <f t="shared" si="30"/>
        <v>0.39346496032488176</v>
      </c>
      <c r="I90" s="55"/>
      <c r="J90" s="55"/>
      <c r="K90" s="55"/>
    </row>
    <row r="91" spans="1:11" s="56" customFormat="1" ht="63" x14ac:dyDescent="0.2">
      <c r="A91" s="57" t="s">
        <v>86</v>
      </c>
      <c r="B91" s="58" t="s">
        <v>8</v>
      </c>
      <c r="C91" s="58" t="s">
        <v>49</v>
      </c>
      <c r="D91" s="58" t="s">
        <v>87</v>
      </c>
      <c r="E91" s="54"/>
      <c r="F91" s="49">
        <f>F92+F94</f>
        <v>3742.9</v>
      </c>
      <c r="G91" s="49">
        <f>G92+G94</f>
        <v>1472.7</v>
      </c>
      <c r="H91" s="258">
        <f t="shared" si="30"/>
        <v>0.39346496032488176</v>
      </c>
      <c r="I91" s="55"/>
      <c r="J91" s="55"/>
      <c r="K91" s="55"/>
    </row>
    <row r="92" spans="1:11" s="56" customFormat="1" ht="78.75" x14ac:dyDescent="0.2">
      <c r="A92" s="57" t="s">
        <v>23</v>
      </c>
      <c r="B92" s="58" t="s">
        <v>8</v>
      </c>
      <c r="C92" s="58" t="s">
        <v>49</v>
      </c>
      <c r="D92" s="58" t="s">
        <v>87</v>
      </c>
      <c r="E92" s="59">
        <v>100</v>
      </c>
      <c r="F92" s="49">
        <f>F93</f>
        <v>3402.6</v>
      </c>
      <c r="G92" s="49">
        <f t="shared" ref="G92" si="36">G93</f>
        <v>1363.8</v>
      </c>
      <c r="H92" s="258">
        <f t="shared" si="30"/>
        <v>0.4008111444189737</v>
      </c>
      <c r="I92" s="55"/>
      <c r="J92" s="55"/>
      <c r="K92" s="55"/>
    </row>
    <row r="93" spans="1:11" s="56" customFormat="1" ht="31.5" x14ac:dyDescent="0.2">
      <c r="A93" s="57" t="s">
        <v>24</v>
      </c>
      <c r="B93" s="58" t="s">
        <v>8</v>
      </c>
      <c r="C93" s="58" t="s">
        <v>49</v>
      </c>
      <c r="D93" s="58" t="s">
        <v>87</v>
      </c>
      <c r="E93" s="59">
        <v>120</v>
      </c>
      <c r="F93" s="49">
        <f>3113.1+289.5</f>
        <v>3402.6</v>
      </c>
      <c r="G93" s="49">
        <f>1061.6+302.2</f>
        <v>1363.8</v>
      </c>
      <c r="H93" s="258">
        <f t="shared" si="30"/>
        <v>0.4008111444189737</v>
      </c>
      <c r="I93" s="55"/>
      <c r="J93" s="55"/>
      <c r="K93" s="55"/>
    </row>
    <row r="94" spans="1:11" s="56" customFormat="1" ht="31.5" x14ac:dyDescent="0.2">
      <c r="A94" s="57" t="s">
        <v>25</v>
      </c>
      <c r="B94" s="58" t="s">
        <v>8</v>
      </c>
      <c r="C94" s="58" t="s">
        <v>49</v>
      </c>
      <c r="D94" s="58" t="s">
        <v>87</v>
      </c>
      <c r="E94" s="59">
        <v>200</v>
      </c>
      <c r="F94" s="49">
        <f>F95</f>
        <v>340.3</v>
      </c>
      <c r="G94" s="49">
        <f t="shared" ref="G94" si="37">G95</f>
        <v>108.9</v>
      </c>
      <c r="H94" s="258">
        <f t="shared" si="30"/>
        <v>0.32001175433441081</v>
      </c>
      <c r="I94" s="55"/>
      <c r="J94" s="55"/>
      <c r="K94" s="55"/>
    </row>
    <row r="95" spans="1:11" s="56" customFormat="1" ht="31.5" x14ac:dyDescent="0.2">
      <c r="A95" s="57" t="s">
        <v>26</v>
      </c>
      <c r="B95" s="58" t="s">
        <v>8</v>
      </c>
      <c r="C95" s="58" t="s">
        <v>49</v>
      </c>
      <c r="D95" s="58" t="s">
        <v>87</v>
      </c>
      <c r="E95" s="59">
        <v>240</v>
      </c>
      <c r="F95" s="49">
        <f>311.3+29</f>
        <v>340.3</v>
      </c>
      <c r="G95" s="49">
        <v>108.9</v>
      </c>
      <c r="H95" s="258">
        <f t="shared" si="30"/>
        <v>0.32001175433441081</v>
      </c>
      <c r="I95" s="55"/>
      <c r="J95" s="55"/>
      <c r="K95" s="55"/>
    </row>
    <row r="96" spans="1:11" s="56" customFormat="1" ht="63" x14ac:dyDescent="0.2">
      <c r="A96" s="57" t="s">
        <v>88</v>
      </c>
      <c r="B96" s="58" t="s">
        <v>8</v>
      </c>
      <c r="C96" s="58" t="s">
        <v>49</v>
      </c>
      <c r="D96" s="58" t="s">
        <v>89</v>
      </c>
      <c r="E96" s="54"/>
      <c r="F96" s="49">
        <f>F97</f>
        <v>12.6</v>
      </c>
      <c r="G96" s="49">
        <f>G97</f>
        <v>0</v>
      </c>
      <c r="H96" s="258">
        <f t="shared" si="30"/>
        <v>0</v>
      </c>
      <c r="I96" s="55"/>
      <c r="J96" s="55"/>
      <c r="K96" s="55"/>
    </row>
    <row r="97" spans="1:11" s="56" customFormat="1" ht="63" x14ac:dyDescent="0.2">
      <c r="A97" s="57" t="s">
        <v>90</v>
      </c>
      <c r="B97" s="58" t="s">
        <v>8</v>
      </c>
      <c r="C97" s="58" t="s">
        <v>49</v>
      </c>
      <c r="D97" s="58" t="s">
        <v>91</v>
      </c>
      <c r="E97" s="54"/>
      <c r="F97" s="49">
        <f>F98+F100</f>
        <v>12.6</v>
      </c>
      <c r="G97" s="49">
        <f>G98+G100</f>
        <v>0</v>
      </c>
      <c r="H97" s="258">
        <f t="shared" si="30"/>
        <v>0</v>
      </c>
      <c r="I97" s="55"/>
      <c r="J97" s="55"/>
      <c r="K97" s="55"/>
    </row>
    <row r="98" spans="1:11" s="56" customFormat="1" ht="78.75" x14ac:dyDescent="0.2">
      <c r="A98" s="57" t="s">
        <v>23</v>
      </c>
      <c r="B98" s="58" t="s">
        <v>8</v>
      </c>
      <c r="C98" s="58" t="s">
        <v>49</v>
      </c>
      <c r="D98" s="58" t="s">
        <v>91</v>
      </c>
      <c r="E98" s="59">
        <v>100</v>
      </c>
      <c r="F98" s="49">
        <f>F99</f>
        <v>11.5</v>
      </c>
      <c r="G98" s="49">
        <f t="shared" ref="G98" si="38">G99</f>
        <v>0</v>
      </c>
      <c r="H98" s="258">
        <f t="shared" si="30"/>
        <v>0</v>
      </c>
      <c r="I98" s="55"/>
      <c r="J98" s="55"/>
      <c r="K98" s="55"/>
    </row>
    <row r="99" spans="1:11" s="56" customFormat="1" ht="31.5" x14ac:dyDescent="0.2">
      <c r="A99" s="57" t="s">
        <v>24</v>
      </c>
      <c r="B99" s="58" t="s">
        <v>8</v>
      </c>
      <c r="C99" s="58" t="s">
        <v>49</v>
      </c>
      <c r="D99" s="58" t="s">
        <v>91</v>
      </c>
      <c r="E99" s="59">
        <v>120</v>
      </c>
      <c r="F99" s="49">
        <f>11+0.5</f>
        <v>11.5</v>
      </c>
      <c r="G99" s="49">
        <v>0</v>
      </c>
      <c r="H99" s="258">
        <f t="shared" si="30"/>
        <v>0</v>
      </c>
      <c r="I99" s="55"/>
      <c r="J99" s="55"/>
      <c r="K99" s="55"/>
    </row>
    <row r="100" spans="1:11" s="56" customFormat="1" ht="31.5" x14ac:dyDescent="0.2">
      <c r="A100" s="57" t="s">
        <v>25</v>
      </c>
      <c r="B100" s="58" t="s">
        <v>8</v>
      </c>
      <c r="C100" s="58" t="s">
        <v>49</v>
      </c>
      <c r="D100" s="58" t="s">
        <v>91</v>
      </c>
      <c r="E100" s="59">
        <v>200</v>
      </c>
      <c r="F100" s="49">
        <f>F101</f>
        <v>1.1000000000000001</v>
      </c>
      <c r="G100" s="49">
        <f t="shared" ref="G100" si="39">G101</f>
        <v>0</v>
      </c>
      <c r="H100" s="258">
        <f t="shared" si="30"/>
        <v>0</v>
      </c>
      <c r="I100" s="55"/>
      <c r="J100" s="55"/>
      <c r="K100" s="55"/>
    </row>
    <row r="101" spans="1:11" s="56" customFormat="1" ht="31.5" x14ac:dyDescent="0.2">
      <c r="A101" s="57" t="s">
        <v>26</v>
      </c>
      <c r="B101" s="58" t="s">
        <v>8</v>
      </c>
      <c r="C101" s="58" t="s">
        <v>49</v>
      </c>
      <c r="D101" s="58" t="s">
        <v>91</v>
      </c>
      <c r="E101" s="59">
        <v>240</v>
      </c>
      <c r="F101" s="49">
        <f>1.1</f>
        <v>1.1000000000000001</v>
      </c>
      <c r="G101" s="49">
        <v>0</v>
      </c>
      <c r="H101" s="258">
        <f t="shared" si="30"/>
        <v>0</v>
      </c>
      <c r="I101" s="55"/>
      <c r="J101" s="55"/>
      <c r="K101" s="55"/>
    </row>
    <row r="102" spans="1:11" s="56" customFormat="1" ht="31.5" x14ac:dyDescent="0.2">
      <c r="A102" s="57" t="s">
        <v>92</v>
      </c>
      <c r="B102" s="58" t="s">
        <v>8</v>
      </c>
      <c r="C102" s="58" t="s">
        <v>49</v>
      </c>
      <c r="D102" s="58" t="s">
        <v>93</v>
      </c>
      <c r="E102" s="59"/>
      <c r="F102" s="49">
        <f>F109+F103</f>
        <v>3486.4</v>
      </c>
      <c r="G102" s="49">
        <f>G109+G103</f>
        <v>2124.4</v>
      </c>
      <c r="H102" s="258">
        <f t="shared" si="30"/>
        <v>0.60933914639743003</v>
      </c>
      <c r="I102" s="55"/>
      <c r="J102" s="55"/>
      <c r="K102" s="55"/>
    </row>
    <row r="103" spans="1:11" s="56" customFormat="1" ht="31.5" x14ac:dyDescent="0.2">
      <c r="A103" s="57" t="s">
        <v>94</v>
      </c>
      <c r="B103" s="58" t="s">
        <v>8</v>
      </c>
      <c r="C103" s="58" t="s">
        <v>49</v>
      </c>
      <c r="D103" s="58" t="s">
        <v>95</v>
      </c>
      <c r="E103" s="59"/>
      <c r="F103" s="49">
        <f>F104</f>
        <v>524.1</v>
      </c>
      <c r="G103" s="49">
        <f>G104</f>
        <v>311.10000000000002</v>
      </c>
      <c r="H103" s="258">
        <f t="shared" si="30"/>
        <v>0.5935890097309674</v>
      </c>
      <c r="I103" s="55"/>
      <c r="J103" s="55"/>
      <c r="K103" s="55"/>
    </row>
    <row r="104" spans="1:11" s="56" customFormat="1" ht="47.25" x14ac:dyDescent="0.2">
      <c r="A104" s="57" t="s">
        <v>96</v>
      </c>
      <c r="B104" s="58" t="s">
        <v>8</v>
      </c>
      <c r="C104" s="58" t="s">
        <v>49</v>
      </c>
      <c r="D104" s="58" t="s">
        <v>97</v>
      </c>
      <c r="E104" s="59"/>
      <c r="F104" s="49">
        <f>F105+F107</f>
        <v>524.1</v>
      </c>
      <c r="G104" s="49">
        <f>G105+G107</f>
        <v>311.10000000000002</v>
      </c>
      <c r="H104" s="258">
        <f t="shared" si="30"/>
        <v>0.5935890097309674</v>
      </c>
      <c r="I104" s="55"/>
      <c r="J104" s="55"/>
      <c r="K104" s="55"/>
    </row>
    <row r="105" spans="1:11" s="56" customFormat="1" ht="78.75" x14ac:dyDescent="0.2">
      <c r="A105" s="57" t="s">
        <v>23</v>
      </c>
      <c r="B105" s="58" t="s">
        <v>8</v>
      </c>
      <c r="C105" s="58" t="s">
        <v>49</v>
      </c>
      <c r="D105" s="58" t="s">
        <v>97</v>
      </c>
      <c r="E105" s="59">
        <v>100</v>
      </c>
      <c r="F105" s="49">
        <f>F106</f>
        <v>476.5</v>
      </c>
      <c r="G105" s="49">
        <f t="shared" ref="G105" si="40">G106</f>
        <v>292.8</v>
      </c>
      <c r="H105" s="258">
        <f t="shared" si="30"/>
        <v>0.61448058761804825</v>
      </c>
      <c r="I105" s="55"/>
      <c r="J105" s="55"/>
      <c r="K105" s="55"/>
    </row>
    <row r="106" spans="1:11" s="56" customFormat="1" ht="31.5" x14ac:dyDescent="0.2">
      <c r="A106" s="57" t="s">
        <v>24</v>
      </c>
      <c r="B106" s="58" t="s">
        <v>8</v>
      </c>
      <c r="C106" s="58" t="s">
        <v>49</v>
      </c>
      <c r="D106" s="58" t="s">
        <v>97</v>
      </c>
      <c r="E106" s="59">
        <v>120</v>
      </c>
      <c r="F106" s="49">
        <f>456.8+19.7</f>
        <v>476.5</v>
      </c>
      <c r="G106" s="49">
        <f>226.3+66.5</f>
        <v>292.8</v>
      </c>
      <c r="H106" s="258">
        <f t="shared" si="30"/>
        <v>0.61448058761804825</v>
      </c>
      <c r="I106" s="55"/>
      <c r="J106" s="55"/>
      <c r="K106" s="55"/>
    </row>
    <row r="107" spans="1:11" s="56" customFormat="1" ht="31.5" x14ac:dyDescent="0.2">
      <c r="A107" s="57" t="s">
        <v>25</v>
      </c>
      <c r="B107" s="58" t="s">
        <v>8</v>
      </c>
      <c r="C107" s="58" t="s">
        <v>49</v>
      </c>
      <c r="D107" s="58" t="s">
        <v>97</v>
      </c>
      <c r="E107" s="59">
        <v>200</v>
      </c>
      <c r="F107" s="49">
        <f>F108</f>
        <v>47.6</v>
      </c>
      <c r="G107" s="49">
        <f t="shared" ref="G107" si="41">G108</f>
        <v>18.3</v>
      </c>
      <c r="H107" s="258">
        <f t="shared" si="30"/>
        <v>0.38445378151260506</v>
      </c>
      <c r="I107" s="55"/>
      <c r="J107" s="55"/>
      <c r="K107" s="55"/>
    </row>
    <row r="108" spans="1:11" s="56" customFormat="1" ht="31.5" x14ac:dyDescent="0.2">
      <c r="A108" s="57" t="s">
        <v>26</v>
      </c>
      <c r="B108" s="58" t="s">
        <v>8</v>
      </c>
      <c r="C108" s="58" t="s">
        <v>49</v>
      </c>
      <c r="D108" s="58" t="s">
        <v>97</v>
      </c>
      <c r="E108" s="59">
        <v>240</v>
      </c>
      <c r="F108" s="49">
        <f>45.7+1.9</f>
        <v>47.6</v>
      </c>
      <c r="G108" s="49">
        <v>18.3</v>
      </c>
      <c r="H108" s="258">
        <f t="shared" si="30"/>
        <v>0.38445378151260506</v>
      </c>
      <c r="I108" s="55"/>
      <c r="J108" s="55"/>
      <c r="K108" s="55"/>
    </row>
    <row r="109" spans="1:11" s="56" customFormat="1" ht="47.25" x14ac:dyDescent="0.2">
      <c r="A109" s="57" t="s">
        <v>98</v>
      </c>
      <c r="B109" s="58" t="s">
        <v>8</v>
      </c>
      <c r="C109" s="58" t="s">
        <v>49</v>
      </c>
      <c r="D109" s="58" t="s">
        <v>99</v>
      </c>
      <c r="E109" s="59"/>
      <c r="F109" s="49">
        <f>F110</f>
        <v>2962.3</v>
      </c>
      <c r="G109" s="49">
        <f>G110</f>
        <v>1813.3</v>
      </c>
      <c r="H109" s="258">
        <f t="shared" si="30"/>
        <v>0.61212571312831243</v>
      </c>
      <c r="I109" s="55"/>
      <c r="J109" s="55"/>
      <c r="K109" s="55"/>
    </row>
    <row r="110" spans="1:11" s="56" customFormat="1" ht="63" x14ac:dyDescent="0.2">
      <c r="A110" s="57" t="s">
        <v>100</v>
      </c>
      <c r="B110" s="58" t="s">
        <v>8</v>
      </c>
      <c r="C110" s="58" t="s">
        <v>49</v>
      </c>
      <c r="D110" s="58" t="s">
        <v>101</v>
      </c>
      <c r="E110" s="59"/>
      <c r="F110" s="49">
        <f>F111+F113</f>
        <v>2962.3</v>
      </c>
      <c r="G110" s="49">
        <f>G111+G113</f>
        <v>1813.3</v>
      </c>
      <c r="H110" s="258">
        <f t="shared" si="30"/>
        <v>0.61212571312831243</v>
      </c>
      <c r="I110" s="55"/>
      <c r="J110" s="55"/>
      <c r="K110" s="55"/>
    </row>
    <row r="111" spans="1:11" s="60" customFormat="1" ht="78.75" x14ac:dyDescent="0.2">
      <c r="A111" s="57" t="s">
        <v>23</v>
      </c>
      <c r="B111" s="58" t="s">
        <v>8</v>
      </c>
      <c r="C111" s="58" t="s">
        <v>49</v>
      </c>
      <c r="D111" s="58" t="s">
        <v>101</v>
      </c>
      <c r="E111" s="59">
        <v>100</v>
      </c>
      <c r="F111" s="49">
        <f>F112</f>
        <v>2693</v>
      </c>
      <c r="G111" s="49">
        <f t="shared" ref="G111" si="42">G112</f>
        <v>1699.8</v>
      </c>
      <c r="H111" s="258">
        <f t="shared" si="30"/>
        <v>0.6311919792053472</v>
      </c>
      <c r="I111" s="26"/>
      <c r="J111" s="26"/>
      <c r="K111" s="26"/>
    </row>
    <row r="112" spans="1:11" s="56" customFormat="1" ht="31.5" x14ac:dyDescent="0.2">
      <c r="A112" s="57" t="s">
        <v>24</v>
      </c>
      <c r="B112" s="58" t="s">
        <v>8</v>
      </c>
      <c r="C112" s="58" t="s">
        <v>49</v>
      </c>
      <c r="D112" s="58" t="s">
        <v>101</v>
      </c>
      <c r="E112" s="59">
        <v>120</v>
      </c>
      <c r="F112" s="49">
        <f>2582+111</f>
        <v>2693</v>
      </c>
      <c r="G112" s="49">
        <f>1317.7+1.6+380.5</f>
        <v>1699.8</v>
      </c>
      <c r="H112" s="258">
        <f t="shared" si="30"/>
        <v>0.6311919792053472</v>
      </c>
      <c r="I112" s="55"/>
      <c r="J112" s="55"/>
      <c r="K112" s="55"/>
    </row>
    <row r="113" spans="1:11" s="56" customFormat="1" ht="31.5" x14ac:dyDescent="0.2">
      <c r="A113" s="57" t="s">
        <v>25</v>
      </c>
      <c r="B113" s="58" t="s">
        <v>8</v>
      </c>
      <c r="C113" s="58" t="s">
        <v>49</v>
      </c>
      <c r="D113" s="58" t="s">
        <v>101</v>
      </c>
      <c r="E113" s="59">
        <v>200</v>
      </c>
      <c r="F113" s="49">
        <f>F114</f>
        <v>269.3</v>
      </c>
      <c r="G113" s="49">
        <f t="shared" ref="G113" si="43">G114</f>
        <v>113.5</v>
      </c>
      <c r="H113" s="258">
        <f t="shared" si="30"/>
        <v>0.42146305235796505</v>
      </c>
      <c r="I113" s="55"/>
      <c r="J113" s="55"/>
      <c r="K113" s="55"/>
    </row>
    <row r="114" spans="1:11" s="56" customFormat="1" ht="31.5" x14ac:dyDescent="0.2">
      <c r="A114" s="57" t="s">
        <v>26</v>
      </c>
      <c r="B114" s="58" t="s">
        <v>8</v>
      </c>
      <c r="C114" s="58" t="s">
        <v>49</v>
      </c>
      <c r="D114" s="58" t="s">
        <v>101</v>
      </c>
      <c r="E114" s="59">
        <v>240</v>
      </c>
      <c r="F114" s="49">
        <f>258.2+11.1</f>
        <v>269.3</v>
      </c>
      <c r="G114" s="49">
        <v>113.5</v>
      </c>
      <c r="H114" s="258">
        <f t="shared" si="30"/>
        <v>0.42146305235796505</v>
      </c>
      <c r="I114" s="55"/>
      <c r="J114" s="55"/>
      <c r="K114" s="55"/>
    </row>
    <row r="115" spans="1:11" s="60" customFormat="1" ht="31.5" x14ac:dyDescent="0.2">
      <c r="A115" s="70" t="s">
        <v>102</v>
      </c>
      <c r="B115" s="53" t="s">
        <v>8</v>
      </c>
      <c r="C115" s="53" t="s">
        <v>49</v>
      </c>
      <c r="D115" s="53" t="s">
        <v>103</v>
      </c>
      <c r="E115" s="59"/>
      <c r="F115" s="48">
        <f>F116</f>
        <v>0.5</v>
      </c>
      <c r="G115" s="48">
        <f t="shared" ref="G115:G117" si="44">G116</f>
        <v>0</v>
      </c>
      <c r="H115" s="258">
        <f t="shared" si="30"/>
        <v>0</v>
      </c>
      <c r="I115" s="26"/>
      <c r="J115" s="26"/>
      <c r="K115" s="26"/>
    </row>
    <row r="116" spans="1:11" s="60" customFormat="1" ht="47.25" x14ac:dyDescent="0.2">
      <c r="A116" s="57" t="s">
        <v>104</v>
      </c>
      <c r="B116" s="58" t="s">
        <v>8</v>
      </c>
      <c r="C116" s="58" t="s">
        <v>49</v>
      </c>
      <c r="D116" s="58" t="s">
        <v>105</v>
      </c>
      <c r="E116" s="59"/>
      <c r="F116" s="49">
        <f>F117</f>
        <v>0.5</v>
      </c>
      <c r="G116" s="49">
        <f t="shared" si="44"/>
        <v>0</v>
      </c>
      <c r="H116" s="258">
        <f t="shared" si="30"/>
        <v>0</v>
      </c>
      <c r="I116" s="26"/>
      <c r="J116" s="26"/>
      <c r="K116" s="26"/>
    </row>
    <row r="117" spans="1:11" s="60" customFormat="1" ht="126" x14ac:dyDescent="0.2">
      <c r="A117" s="57" t="s">
        <v>106</v>
      </c>
      <c r="B117" s="58" t="s">
        <v>8</v>
      </c>
      <c r="C117" s="58" t="s">
        <v>49</v>
      </c>
      <c r="D117" s="58" t="s">
        <v>107</v>
      </c>
      <c r="E117" s="59"/>
      <c r="F117" s="49">
        <f>F118</f>
        <v>0.5</v>
      </c>
      <c r="G117" s="49">
        <f t="shared" si="44"/>
        <v>0</v>
      </c>
      <c r="H117" s="258">
        <f t="shared" si="30"/>
        <v>0</v>
      </c>
      <c r="I117" s="26"/>
      <c r="J117" s="26"/>
      <c r="K117" s="26"/>
    </row>
    <row r="118" spans="1:11" s="72" customFormat="1" ht="78.75" x14ac:dyDescent="0.2">
      <c r="A118" s="57" t="s">
        <v>108</v>
      </c>
      <c r="B118" s="58" t="s">
        <v>8</v>
      </c>
      <c r="C118" s="58" t="s">
        <v>49</v>
      </c>
      <c r="D118" s="58" t="s">
        <v>109</v>
      </c>
      <c r="E118" s="59"/>
      <c r="F118" s="49">
        <f>F119+F121</f>
        <v>0.5</v>
      </c>
      <c r="G118" s="49">
        <f t="shared" ref="G118" si="45">G119+G121</f>
        <v>0</v>
      </c>
      <c r="H118" s="258">
        <f t="shared" si="30"/>
        <v>0</v>
      </c>
      <c r="I118" s="71"/>
      <c r="J118" s="71"/>
      <c r="K118" s="71"/>
    </row>
    <row r="119" spans="1:11" s="60" customFormat="1" ht="78.75" x14ac:dyDescent="0.2">
      <c r="A119" s="57" t="s">
        <v>23</v>
      </c>
      <c r="B119" s="58" t="s">
        <v>8</v>
      </c>
      <c r="C119" s="58" t="s">
        <v>49</v>
      </c>
      <c r="D119" s="58" t="s">
        <v>109</v>
      </c>
      <c r="E119" s="59">
        <v>100</v>
      </c>
      <c r="F119" s="49">
        <f>F120</f>
        <v>0.4</v>
      </c>
      <c r="G119" s="49">
        <f t="shared" ref="G119" si="46">G120</f>
        <v>0</v>
      </c>
      <c r="H119" s="258">
        <f t="shared" si="30"/>
        <v>0</v>
      </c>
      <c r="I119" s="26"/>
      <c r="J119" s="26"/>
      <c r="K119" s="26"/>
    </row>
    <row r="120" spans="1:11" s="56" customFormat="1" ht="31.5" x14ac:dyDescent="0.2">
      <c r="A120" s="57" t="s">
        <v>24</v>
      </c>
      <c r="B120" s="58" t="s">
        <v>8</v>
      </c>
      <c r="C120" s="58" t="s">
        <v>49</v>
      </c>
      <c r="D120" s="58" t="s">
        <v>109</v>
      </c>
      <c r="E120" s="59">
        <v>120</v>
      </c>
      <c r="F120" s="49">
        <v>0.4</v>
      </c>
      <c r="G120" s="49">
        <v>0</v>
      </c>
      <c r="H120" s="258">
        <f t="shared" si="30"/>
        <v>0</v>
      </c>
      <c r="I120" s="55"/>
      <c r="J120" s="55"/>
      <c r="K120" s="55"/>
    </row>
    <row r="121" spans="1:11" s="56" customFormat="1" ht="31.5" x14ac:dyDescent="0.2">
      <c r="A121" s="57" t="s">
        <v>25</v>
      </c>
      <c r="B121" s="58" t="s">
        <v>8</v>
      </c>
      <c r="C121" s="58" t="s">
        <v>49</v>
      </c>
      <c r="D121" s="58" t="s">
        <v>109</v>
      </c>
      <c r="E121" s="59">
        <v>200</v>
      </c>
      <c r="F121" s="49">
        <f>F122</f>
        <v>0.1</v>
      </c>
      <c r="G121" s="49">
        <f t="shared" ref="G121" si="47">G122</f>
        <v>0</v>
      </c>
      <c r="H121" s="258">
        <f t="shared" si="30"/>
        <v>0</v>
      </c>
      <c r="I121" s="55"/>
      <c r="J121" s="55"/>
      <c r="K121" s="55"/>
    </row>
    <row r="122" spans="1:11" s="56" customFormat="1" ht="31.5" x14ac:dyDescent="0.2">
      <c r="A122" s="57" t="s">
        <v>26</v>
      </c>
      <c r="B122" s="58" t="s">
        <v>8</v>
      </c>
      <c r="C122" s="58" t="s">
        <v>49</v>
      </c>
      <c r="D122" s="58" t="s">
        <v>109</v>
      </c>
      <c r="E122" s="59">
        <v>240</v>
      </c>
      <c r="F122" s="49">
        <v>0.1</v>
      </c>
      <c r="G122" s="49">
        <v>0</v>
      </c>
      <c r="H122" s="258">
        <f t="shared" si="30"/>
        <v>0</v>
      </c>
      <c r="I122" s="55"/>
      <c r="J122" s="55"/>
      <c r="K122" s="55"/>
    </row>
    <row r="123" spans="1:11" s="56" customFormat="1" ht="47.25" x14ac:dyDescent="0.2">
      <c r="A123" s="70" t="s">
        <v>110</v>
      </c>
      <c r="B123" s="53" t="s">
        <v>8</v>
      </c>
      <c r="C123" s="53" t="s">
        <v>49</v>
      </c>
      <c r="D123" s="53" t="s">
        <v>111</v>
      </c>
      <c r="E123" s="54"/>
      <c r="F123" s="48">
        <f t="shared" ref="F123:G125" si="48">F124</f>
        <v>468.6</v>
      </c>
      <c r="G123" s="48">
        <f t="shared" si="48"/>
        <v>331</v>
      </c>
      <c r="H123" s="258">
        <f t="shared" si="30"/>
        <v>0.70635936833119928</v>
      </c>
      <c r="I123" s="55"/>
      <c r="J123" s="55"/>
      <c r="K123" s="55"/>
    </row>
    <row r="124" spans="1:11" s="56" customFormat="1" ht="50.45" customHeight="1" x14ac:dyDescent="0.2">
      <c r="A124" s="57" t="s">
        <v>112</v>
      </c>
      <c r="B124" s="58" t="s">
        <v>8</v>
      </c>
      <c r="C124" s="58" t="s">
        <v>49</v>
      </c>
      <c r="D124" s="58" t="s">
        <v>113</v>
      </c>
      <c r="E124" s="59"/>
      <c r="F124" s="49">
        <f t="shared" si="48"/>
        <v>468.6</v>
      </c>
      <c r="G124" s="49">
        <f t="shared" si="48"/>
        <v>331</v>
      </c>
      <c r="H124" s="258">
        <f t="shared" si="30"/>
        <v>0.70635936833119928</v>
      </c>
      <c r="I124" s="55"/>
      <c r="J124" s="55"/>
      <c r="K124" s="55"/>
    </row>
    <row r="125" spans="1:11" s="56" customFormat="1" ht="46.9" customHeight="1" x14ac:dyDescent="0.2">
      <c r="A125" s="57" t="s">
        <v>114</v>
      </c>
      <c r="B125" s="58" t="s">
        <v>8</v>
      </c>
      <c r="C125" s="58" t="s">
        <v>49</v>
      </c>
      <c r="D125" s="58" t="s">
        <v>115</v>
      </c>
      <c r="E125" s="59"/>
      <c r="F125" s="49">
        <f t="shared" si="48"/>
        <v>468.6</v>
      </c>
      <c r="G125" s="49">
        <f t="shared" si="48"/>
        <v>331</v>
      </c>
      <c r="H125" s="258">
        <f t="shared" si="30"/>
        <v>0.70635936833119928</v>
      </c>
      <c r="I125" s="55"/>
      <c r="J125" s="55"/>
      <c r="K125" s="55"/>
    </row>
    <row r="126" spans="1:11" s="56" customFormat="1" ht="47.25" x14ac:dyDescent="0.2">
      <c r="A126" s="57" t="s">
        <v>116</v>
      </c>
      <c r="B126" s="58" t="s">
        <v>8</v>
      </c>
      <c r="C126" s="58" t="s">
        <v>49</v>
      </c>
      <c r="D126" s="58" t="s">
        <v>117</v>
      </c>
      <c r="E126" s="59"/>
      <c r="F126" s="49">
        <f>F127+F129</f>
        <v>468.6</v>
      </c>
      <c r="G126" s="49">
        <f>G127+G129</f>
        <v>331</v>
      </c>
      <c r="H126" s="258">
        <f t="shared" si="30"/>
        <v>0.70635936833119928</v>
      </c>
      <c r="I126" s="55"/>
      <c r="J126" s="55"/>
      <c r="K126" s="55"/>
    </row>
    <row r="127" spans="1:11" s="60" customFormat="1" ht="78.75" x14ac:dyDescent="0.2">
      <c r="A127" s="57" t="s">
        <v>23</v>
      </c>
      <c r="B127" s="58" t="s">
        <v>8</v>
      </c>
      <c r="C127" s="58" t="s">
        <v>49</v>
      </c>
      <c r="D127" s="58" t="s">
        <v>117</v>
      </c>
      <c r="E127" s="59">
        <v>100</v>
      </c>
      <c r="F127" s="49">
        <f>F128</f>
        <v>426</v>
      </c>
      <c r="G127" s="49">
        <f t="shared" ref="G127" si="49">G128</f>
        <v>303.60000000000002</v>
      </c>
      <c r="H127" s="258">
        <f t="shared" si="30"/>
        <v>0.71267605633802822</v>
      </c>
      <c r="I127" s="26"/>
      <c r="J127" s="26"/>
      <c r="K127" s="26"/>
    </row>
    <row r="128" spans="1:11" s="56" customFormat="1" ht="31.5" x14ac:dyDescent="0.2">
      <c r="A128" s="57" t="s">
        <v>24</v>
      </c>
      <c r="B128" s="58" t="s">
        <v>8</v>
      </c>
      <c r="C128" s="58" t="s">
        <v>49</v>
      </c>
      <c r="D128" s="58" t="s">
        <v>117</v>
      </c>
      <c r="E128" s="59">
        <v>120</v>
      </c>
      <c r="F128" s="49">
        <f>408.5+17.5</f>
        <v>426</v>
      </c>
      <c r="G128" s="49">
        <f>237.3+66.3</f>
        <v>303.60000000000002</v>
      </c>
      <c r="H128" s="258">
        <f t="shared" si="30"/>
        <v>0.71267605633802822</v>
      </c>
      <c r="I128" s="55"/>
      <c r="J128" s="55"/>
      <c r="K128" s="55"/>
    </row>
    <row r="129" spans="1:11" s="56" customFormat="1" ht="31.5" x14ac:dyDescent="0.2">
      <c r="A129" s="57" t="s">
        <v>25</v>
      </c>
      <c r="B129" s="58" t="s">
        <v>8</v>
      </c>
      <c r="C129" s="58" t="s">
        <v>49</v>
      </c>
      <c r="D129" s="58" t="s">
        <v>117</v>
      </c>
      <c r="E129" s="59">
        <v>200</v>
      </c>
      <c r="F129" s="49">
        <f>F130</f>
        <v>42.599999999999994</v>
      </c>
      <c r="G129" s="49">
        <f t="shared" ref="G129" si="50">G130</f>
        <v>27.4</v>
      </c>
      <c r="H129" s="258">
        <f t="shared" si="30"/>
        <v>0.64319248826291087</v>
      </c>
      <c r="I129" s="55"/>
      <c r="J129" s="55"/>
      <c r="K129" s="55"/>
    </row>
    <row r="130" spans="1:11" s="56" customFormat="1" ht="31.5" x14ac:dyDescent="0.2">
      <c r="A130" s="57" t="s">
        <v>26</v>
      </c>
      <c r="B130" s="58" t="s">
        <v>8</v>
      </c>
      <c r="C130" s="58" t="s">
        <v>49</v>
      </c>
      <c r="D130" s="58" t="s">
        <v>117</v>
      </c>
      <c r="E130" s="59">
        <v>240</v>
      </c>
      <c r="F130" s="49">
        <f>40.8+1.8</f>
        <v>42.599999999999994</v>
      </c>
      <c r="G130" s="49">
        <v>27.4</v>
      </c>
      <c r="H130" s="258">
        <f t="shared" si="30"/>
        <v>0.64319248826291087</v>
      </c>
      <c r="I130" s="55"/>
      <c r="J130" s="55"/>
      <c r="K130" s="55"/>
    </row>
    <row r="131" spans="1:11" s="5" customFormat="1" x14ac:dyDescent="0.2">
      <c r="A131" s="33" t="s">
        <v>118</v>
      </c>
      <c r="B131" s="34" t="s">
        <v>8</v>
      </c>
      <c r="C131" s="34" t="s">
        <v>119</v>
      </c>
      <c r="D131" s="34"/>
      <c r="E131" s="41"/>
      <c r="F131" s="50">
        <f>F132</f>
        <v>25</v>
      </c>
      <c r="G131" s="35">
        <f t="shared" ref="G131:G134" si="51">G132</f>
        <v>0</v>
      </c>
      <c r="H131" s="258">
        <f t="shared" si="30"/>
        <v>0</v>
      </c>
      <c r="I131" s="4"/>
      <c r="J131" s="4"/>
      <c r="K131" s="4"/>
    </row>
    <row r="132" spans="1:11" s="5" customFormat="1" x14ac:dyDescent="0.2">
      <c r="A132" s="38" t="s">
        <v>120</v>
      </c>
      <c r="B132" s="31" t="s">
        <v>8</v>
      </c>
      <c r="C132" s="31" t="s">
        <v>119</v>
      </c>
      <c r="D132" s="31" t="s">
        <v>121</v>
      </c>
      <c r="E132" s="31"/>
      <c r="F132" s="49">
        <f>F133</f>
        <v>25</v>
      </c>
      <c r="G132" s="29">
        <f t="shared" si="51"/>
        <v>0</v>
      </c>
      <c r="H132" s="258">
        <f t="shared" si="30"/>
        <v>0</v>
      </c>
      <c r="I132" s="4"/>
      <c r="J132" s="4"/>
      <c r="K132" s="4"/>
    </row>
    <row r="133" spans="1:11" s="5" customFormat="1" ht="63" x14ac:dyDescent="0.2">
      <c r="A133" s="38" t="s">
        <v>122</v>
      </c>
      <c r="B133" s="31" t="s">
        <v>8</v>
      </c>
      <c r="C133" s="31" t="s">
        <v>119</v>
      </c>
      <c r="D133" s="31" t="s">
        <v>123</v>
      </c>
      <c r="E133" s="31"/>
      <c r="F133" s="49">
        <f>F134</f>
        <v>25</v>
      </c>
      <c r="G133" s="29">
        <f t="shared" si="51"/>
        <v>0</v>
      </c>
      <c r="H133" s="258">
        <f t="shared" si="30"/>
        <v>0</v>
      </c>
      <c r="I133" s="4"/>
      <c r="J133" s="4"/>
      <c r="K133" s="4"/>
    </row>
    <row r="134" spans="1:11" s="5" customFormat="1" ht="31.5" x14ac:dyDescent="0.2">
      <c r="A134" s="43" t="s">
        <v>25</v>
      </c>
      <c r="B134" s="31" t="s">
        <v>8</v>
      </c>
      <c r="C134" s="31" t="s">
        <v>119</v>
      </c>
      <c r="D134" s="31" t="s">
        <v>123</v>
      </c>
      <c r="E134" s="31" t="s">
        <v>36</v>
      </c>
      <c r="F134" s="49">
        <f>F135</f>
        <v>25</v>
      </c>
      <c r="G134" s="29">
        <f t="shared" si="51"/>
        <v>0</v>
      </c>
      <c r="H134" s="258">
        <f t="shared" si="30"/>
        <v>0</v>
      </c>
      <c r="I134" s="4"/>
      <c r="J134" s="4"/>
      <c r="K134" s="4"/>
    </row>
    <row r="135" spans="1:11" s="5" customFormat="1" ht="31.5" x14ac:dyDescent="0.2">
      <c r="A135" s="43" t="s">
        <v>26</v>
      </c>
      <c r="B135" s="31" t="s">
        <v>8</v>
      </c>
      <c r="C135" s="31" t="s">
        <v>119</v>
      </c>
      <c r="D135" s="31" t="s">
        <v>123</v>
      </c>
      <c r="E135" s="31" t="s">
        <v>37</v>
      </c>
      <c r="F135" s="49">
        <v>25</v>
      </c>
      <c r="G135" s="29">
        <v>0</v>
      </c>
      <c r="H135" s="258">
        <f t="shared" si="30"/>
        <v>0</v>
      </c>
      <c r="I135" s="37"/>
      <c r="J135" s="73"/>
      <c r="K135" s="73"/>
    </row>
    <row r="136" spans="1:11" s="5" customFormat="1" ht="21" customHeight="1" x14ac:dyDescent="0.2">
      <c r="A136" s="74" t="s">
        <v>124</v>
      </c>
      <c r="B136" s="75">
        <v>902</v>
      </c>
      <c r="C136" s="34" t="s">
        <v>125</v>
      </c>
      <c r="D136" s="34"/>
      <c r="E136" s="76"/>
      <c r="F136" s="77">
        <f>F137</f>
        <v>1740</v>
      </c>
      <c r="G136" s="78">
        <f t="shared" ref="G136:G137" si="52">G137</f>
        <v>1740</v>
      </c>
      <c r="H136" s="258">
        <f t="shared" si="30"/>
        <v>1</v>
      </c>
      <c r="I136" s="4"/>
      <c r="J136" s="4"/>
      <c r="K136" s="4"/>
    </row>
    <row r="137" spans="1:11" s="5" customFormat="1" ht="18" customHeight="1" x14ac:dyDescent="0.2">
      <c r="A137" s="79" t="s">
        <v>126</v>
      </c>
      <c r="B137" s="15" t="s">
        <v>8</v>
      </c>
      <c r="C137" s="15" t="s">
        <v>125</v>
      </c>
      <c r="D137" s="15" t="s">
        <v>127</v>
      </c>
      <c r="E137" s="15"/>
      <c r="F137" s="65">
        <f>F138</f>
        <v>1740</v>
      </c>
      <c r="G137" s="80">
        <f t="shared" si="52"/>
        <v>1740</v>
      </c>
      <c r="H137" s="258">
        <f t="shared" si="30"/>
        <v>1</v>
      </c>
      <c r="I137" s="4"/>
      <c r="J137" s="4"/>
      <c r="K137" s="4"/>
    </row>
    <row r="138" spans="1:11" s="5" customFormat="1" ht="31.5" x14ac:dyDescent="0.2">
      <c r="A138" s="81" t="s">
        <v>25</v>
      </c>
      <c r="B138" s="31" t="s">
        <v>8</v>
      </c>
      <c r="C138" s="31" t="s">
        <v>125</v>
      </c>
      <c r="D138" s="31" t="s">
        <v>127</v>
      </c>
      <c r="E138" s="31"/>
      <c r="F138" s="82">
        <f>F139+F1438</f>
        <v>1740</v>
      </c>
      <c r="G138" s="83">
        <f>G139+G1438</f>
        <v>1740</v>
      </c>
      <c r="H138" s="258">
        <f t="shared" ref="H138:H201" si="53">G138/F138</f>
        <v>1</v>
      </c>
      <c r="I138" s="4"/>
      <c r="J138" s="4"/>
      <c r="K138" s="4"/>
    </row>
    <row r="139" spans="1:11" s="5" customFormat="1" ht="31.5" x14ac:dyDescent="0.2">
      <c r="A139" s="81" t="s">
        <v>128</v>
      </c>
      <c r="B139" s="31" t="s">
        <v>8</v>
      </c>
      <c r="C139" s="31" t="s">
        <v>125</v>
      </c>
      <c r="D139" s="31" t="s">
        <v>129</v>
      </c>
      <c r="E139" s="31"/>
      <c r="F139" s="82">
        <f>F140</f>
        <v>1740</v>
      </c>
      <c r="G139" s="83">
        <f t="shared" ref="G139:G140" si="54">G140</f>
        <v>1740</v>
      </c>
      <c r="H139" s="258">
        <f t="shared" si="53"/>
        <v>1</v>
      </c>
      <c r="I139" s="4"/>
      <c r="J139" s="4"/>
      <c r="K139" s="4"/>
    </row>
    <row r="140" spans="1:11" s="5" customFormat="1" ht="21" customHeight="1" x14ac:dyDescent="0.2">
      <c r="A140" s="81" t="s">
        <v>29</v>
      </c>
      <c r="B140" s="31" t="s">
        <v>8</v>
      </c>
      <c r="C140" s="31" t="s">
        <v>125</v>
      </c>
      <c r="D140" s="31" t="s">
        <v>129</v>
      </c>
      <c r="E140" s="31" t="s">
        <v>130</v>
      </c>
      <c r="F140" s="82">
        <f>F141</f>
        <v>1740</v>
      </c>
      <c r="G140" s="83">
        <f t="shared" si="54"/>
        <v>1740</v>
      </c>
      <c r="H140" s="258">
        <f t="shared" si="53"/>
        <v>1</v>
      </c>
      <c r="I140" s="4"/>
      <c r="J140" s="4"/>
      <c r="K140" s="4"/>
    </row>
    <row r="141" spans="1:11" s="5" customFormat="1" ht="19.899999999999999" customHeight="1" x14ac:dyDescent="0.2">
      <c r="A141" s="81" t="s">
        <v>131</v>
      </c>
      <c r="B141" s="31" t="s">
        <v>8</v>
      </c>
      <c r="C141" s="31" t="s">
        <v>125</v>
      </c>
      <c r="D141" s="31" t="s">
        <v>129</v>
      </c>
      <c r="E141" s="31" t="s">
        <v>132</v>
      </c>
      <c r="F141" s="82">
        <v>1740</v>
      </c>
      <c r="G141" s="83">
        <v>1740</v>
      </c>
      <c r="H141" s="258">
        <f t="shared" si="53"/>
        <v>1</v>
      </c>
      <c r="I141" s="4"/>
      <c r="J141" s="4"/>
      <c r="K141" s="4"/>
    </row>
    <row r="142" spans="1:11" s="45" customFormat="1" x14ac:dyDescent="0.2">
      <c r="A142" s="33" t="s">
        <v>133</v>
      </c>
      <c r="B142" s="34" t="s">
        <v>8</v>
      </c>
      <c r="C142" s="34" t="s">
        <v>134</v>
      </c>
      <c r="D142" s="34"/>
      <c r="E142" s="41"/>
      <c r="F142" s="84">
        <f>F145+F166+F172+F187+F226+F159</f>
        <v>9256.5</v>
      </c>
      <c r="G142" s="84">
        <f>G145+G166+G172+G187+G226+G159+0.1</f>
        <v>5275.9</v>
      </c>
      <c r="H142" s="258">
        <f t="shared" si="53"/>
        <v>0.56996705018095384</v>
      </c>
      <c r="I142" s="44"/>
      <c r="J142" s="44"/>
      <c r="K142" s="44"/>
    </row>
    <row r="143" spans="1:11" s="45" customFormat="1" ht="31.5" hidden="1" customHeight="1" x14ac:dyDescent="0.2">
      <c r="A143" s="85" t="s">
        <v>135</v>
      </c>
      <c r="B143" s="40" t="s">
        <v>8</v>
      </c>
      <c r="C143" s="40" t="s">
        <v>134</v>
      </c>
      <c r="D143" s="40" t="s">
        <v>136</v>
      </c>
      <c r="E143" s="40" t="s">
        <v>4</v>
      </c>
      <c r="F143" s="86">
        <f>F144</f>
        <v>0</v>
      </c>
      <c r="G143" s="86">
        <f>G144</f>
        <v>1</v>
      </c>
      <c r="H143" s="258" t="e">
        <f t="shared" si="53"/>
        <v>#DIV/0!</v>
      </c>
      <c r="I143" s="44"/>
      <c r="J143" s="44"/>
      <c r="K143" s="44"/>
    </row>
    <row r="144" spans="1:11" s="45" customFormat="1" ht="31.5" hidden="1" customHeight="1" x14ac:dyDescent="0.2">
      <c r="A144" s="30" t="s">
        <v>15</v>
      </c>
      <c r="B144" s="31" t="s">
        <v>8</v>
      </c>
      <c r="C144" s="31" t="s">
        <v>134</v>
      </c>
      <c r="D144" s="31" t="s">
        <v>136</v>
      </c>
      <c r="E144" s="31" t="s">
        <v>137</v>
      </c>
      <c r="F144" s="66">
        <v>0</v>
      </c>
      <c r="G144" s="66">
        <v>1</v>
      </c>
      <c r="H144" s="258" t="e">
        <f t="shared" si="53"/>
        <v>#DIV/0!</v>
      </c>
      <c r="I144" s="44"/>
      <c r="J144" s="44"/>
      <c r="K144" s="44"/>
    </row>
    <row r="145" spans="1:11" s="45" customFormat="1" x14ac:dyDescent="0.2">
      <c r="A145" s="23" t="s">
        <v>21</v>
      </c>
      <c r="B145" s="15" t="s">
        <v>8</v>
      </c>
      <c r="C145" s="15" t="s">
        <v>134</v>
      </c>
      <c r="D145" s="15" t="s">
        <v>18</v>
      </c>
      <c r="E145" s="24"/>
      <c r="F145" s="48">
        <f>F146</f>
        <v>4329.6000000000004</v>
      </c>
      <c r="G145" s="48">
        <f>G146</f>
        <v>3147.8999999999996</v>
      </c>
      <c r="H145" s="258">
        <f t="shared" si="53"/>
        <v>0.72706485587583136</v>
      </c>
      <c r="I145" s="44"/>
      <c r="J145" s="44"/>
      <c r="K145" s="44"/>
    </row>
    <row r="146" spans="1:11" s="45" customFormat="1" ht="24.6" customHeight="1" x14ac:dyDescent="0.2">
      <c r="A146" s="30" t="s">
        <v>138</v>
      </c>
      <c r="B146" s="31" t="s">
        <v>8</v>
      </c>
      <c r="C146" s="31" t="s">
        <v>134</v>
      </c>
      <c r="D146" s="31" t="s">
        <v>139</v>
      </c>
      <c r="E146" s="32"/>
      <c r="F146" s="49">
        <f>F147+F156</f>
        <v>4329.6000000000004</v>
      </c>
      <c r="G146" s="49">
        <f>G147+G156</f>
        <v>3147.8999999999996</v>
      </c>
      <c r="H146" s="258">
        <f t="shared" si="53"/>
        <v>0.72706485587583136</v>
      </c>
      <c r="I146" s="44"/>
      <c r="J146" s="44"/>
      <c r="K146" s="44"/>
    </row>
    <row r="147" spans="1:11" s="45" customFormat="1" ht="31.5" x14ac:dyDescent="0.2">
      <c r="A147" s="30" t="s">
        <v>140</v>
      </c>
      <c r="B147" s="31" t="s">
        <v>8</v>
      </c>
      <c r="C147" s="31" t="s">
        <v>134</v>
      </c>
      <c r="D147" s="31" t="s">
        <v>141</v>
      </c>
      <c r="E147" s="32"/>
      <c r="F147" s="49">
        <f>F148+F150</f>
        <v>1600.6</v>
      </c>
      <c r="G147" s="49">
        <f>G148+G150</f>
        <v>1237.5999999999999</v>
      </c>
      <c r="H147" s="258">
        <f t="shared" si="53"/>
        <v>0.77321004623266276</v>
      </c>
      <c r="I147" s="44"/>
      <c r="J147" s="44"/>
      <c r="K147" s="44"/>
    </row>
    <row r="148" spans="1:11" s="5" customFormat="1" ht="66.599999999999994" customHeight="1" x14ac:dyDescent="0.2">
      <c r="A148" s="43" t="s">
        <v>23</v>
      </c>
      <c r="B148" s="31" t="s">
        <v>8</v>
      </c>
      <c r="C148" s="31" t="s">
        <v>134</v>
      </c>
      <c r="D148" s="31" t="s">
        <v>141</v>
      </c>
      <c r="E148" s="31" t="s">
        <v>43</v>
      </c>
      <c r="F148" s="49">
        <f>F149</f>
        <v>1536.5</v>
      </c>
      <c r="G148" s="29">
        <f t="shared" ref="G148" si="55">G149</f>
        <v>1181</v>
      </c>
      <c r="H148" s="258">
        <f t="shared" si="53"/>
        <v>0.76863000325414899</v>
      </c>
      <c r="I148" s="4"/>
      <c r="J148" s="4"/>
      <c r="K148" s="4"/>
    </row>
    <row r="149" spans="1:11" s="28" customFormat="1" ht="24.75" customHeight="1" x14ac:dyDescent="0.2">
      <c r="A149" s="43" t="s">
        <v>142</v>
      </c>
      <c r="B149" s="31" t="s">
        <v>8</v>
      </c>
      <c r="C149" s="31" t="s">
        <v>134</v>
      </c>
      <c r="D149" s="31" t="s">
        <v>141</v>
      </c>
      <c r="E149" s="31" t="s">
        <v>143</v>
      </c>
      <c r="F149" s="49">
        <f>1498.9+37.6</f>
        <v>1536.5</v>
      </c>
      <c r="G149" s="29">
        <f>925+256</f>
        <v>1181</v>
      </c>
      <c r="H149" s="258">
        <f t="shared" si="53"/>
        <v>0.76863000325414899</v>
      </c>
      <c r="I149" s="4"/>
      <c r="J149" s="27"/>
      <c r="K149" s="27"/>
    </row>
    <row r="150" spans="1:11" s="45" customFormat="1" ht="31.5" x14ac:dyDescent="0.2">
      <c r="A150" s="43" t="s">
        <v>25</v>
      </c>
      <c r="B150" s="31" t="s">
        <v>8</v>
      </c>
      <c r="C150" s="31" t="s">
        <v>134</v>
      </c>
      <c r="D150" s="31" t="s">
        <v>141</v>
      </c>
      <c r="E150" s="31" t="s">
        <v>36</v>
      </c>
      <c r="F150" s="49">
        <f>F151</f>
        <v>64.099999999999994</v>
      </c>
      <c r="G150" s="29">
        <f t="shared" ref="G150" si="56">G151</f>
        <v>56.6</v>
      </c>
      <c r="H150" s="258">
        <f t="shared" si="53"/>
        <v>0.88299531981279267</v>
      </c>
      <c r="I150" s="44"/>
      <c r="J150" s="44"/>
      <c r="K150" s="44"/>
    </row>
    <row r="151" spans="1:11" s="45" customFormat="1" ht="31.5" x14ac:dyDescent="0.2">
      <c r="A151" s="43" t="s">
        <v>26</v>
      </c>
      <c r="B151" s="31" t="s">
        <v>8</v>
      </c>
      <c r="C151" s="31" t="s">
        <v>134</v>
      </c>
      <c r="D151" s="31" t="s">
        <v>141</v>
      </c>
      <c r="E151" s="31" t="s">
        <v>37</v>
      </c>
      <c r="F151" s="49">
        <f>14.1+50</f>
        <v>64.099999999999994</v>
      </c>
      <c r="G151" s="29">
        <v>56.6</v>
      </c>
      <c r="H151" s="258">
        <f t="shared" si="53"/>
        <v>0.88299531981279267</v>
      </c>
      <c r="I151" s="44"/>
      <c r="J151" s="44"/>
      <c r="K151" s="44"/>
    </row>
    <row r="152" spans="1:11" s="45" customFormat="1" ht="31.5" hidden="1" x14ac:dyDescent="0.2">
      <c r="A152" s="43" t="s">
        <v>144</v>
      </c>
      <c r="B152" s="31" t="s">
        <v>8</v>
      </c>
      <c r="C152" s="31" t="s">
        <v>134</v>
      </c>
      <c r="D152" s="31" t="s">
        <v>145</v>
      </c>
      <c r="E152" s="31"/>
      <c r="F152" s="49">
        <f>F153</f>
        <v>0</v>
      </c>
      <c r="G152" s="29">
        <f t="shared" ref="G152:G154" si="57">G153</f>
        <v>0</v>
      </c>
      <c r="H152" s="258" t="e">
        <f t="shared" si="53"/>
        <v>#DIV/0!</v>
      </c>
      <c r="I152" s="44"/>
      <c r="J152" s="44"/>
      <c r="K152" s="44"/>
    </row>
    <row r="153" spans="1:11" s="45" customFormat="1" ht="47.25" hidden="1" x14ac:dyDescent="0.2">
      <c r="A153" s="43" t="s">
        <v>146</v>
      </c>
      <c r="B153" s="31" t="s">
        <v>8</v>
      </c>
      <c r="C153" s="31" t="s">
        <v>134</v>
      </c>
      <c r="D153" s="31" t="s">
        <v>147</v>
      </c>
      <c r="E153" s="31"/>
      <c r="F153" s="49">
        <f>F154</f>
        <v>0</v>
      </c>
      <c r="G153" s="29">
        <f t="shared" si="57"/>
        <v>0</v>
      </c>
      <c r="H153" s="258" t="e">
        <f t="shared" si="53"/>
        <v>#DIV/0!</v>
      </c>
      <c r="I153" s="44"/>
      <c r="J153" s="44"/>
      <c r="K153" s="44"/>
    </row>
    <row r="154" spans="1:11" s="45" customFormat="1" ht="31.5" hidden="1" x14ac:dyDescent="0.2">
      <c r="A154" s="43" t="s">
        <v>25</v>
      </c>
      <c r="B154" s="31" t="s">
        <v>8</v>
      </c>
      <c r="C154" s="31" t="s">
        <v>134</v>
      </c>
      <c r="D154" s="31" t="s">
        <v>147</v>
      </c>
      <c r="E154" s="31" t="s">
        <v>36</v>
      </c>
      <c r="F154" s="49">
        <f>F155</f>
        <v>0</v>
      </c>
      <c r="G154" s="29">
        <f t="shared" si="57"/>
        <v>0</v>
      </c>
      <c r="H154" s="258" t="e">
        <f t="shared" si="53"/>
        <v>#DIV/0!</v>
      </c>
      <c r="I154" s="44"/>
      <c r="J154" s="44"/>
      <c r="K154" s="44"/>
    </row>
    <row r="155" spans="1:11" s="45" customFormat="1" ht="31.5" hidden="1" x14ac:dyDescent="0.2">
      <c r="A155" s="43" t="s">
        <v>26</v>
      </c>
      <c r="B155" s="31" t="s">
        <v>8</v>
      </c>
      <c r="C155" s="31" t="s">
        <v>134</v>
      </c>
      <c r="D155" s="31" t="s">
        <v>147</v>
      </c>
      <c r="E155" s="31" t="s">
        <v>37</v>
      </c>
      <c r="F155" s="49">
        <f>6-6</f>
        <v>0</v>
      </c>
      <c r="G155" s="29">
        <f t="shared" ref="G155" si="58">6-6</f>
        <v>0</v>
      </c>
      <c r="H155" s="258" t="e">
        <f t="shared" si="53"/>
        <v>#DIV/0!</v>
      </c>
      <c r="I155" s="44"/>
      <c r="J155" s="44"/>
      <c r="K155" s="44"/>
    </row>
    <row r="156" spans="1:11" s="45" customFormat="1" ht="31.5" x14ac:dyDescent="0.2">
      <c r="A156" s="30" t="s">
        <v>148</v>
      </c>
      <c r="B156" s="31" t="s">
        <v>8</v>
      </c>
      <c r="C156" s="31" t="s">
        <v>134</v>
      </c>
      <c r="D156" s="31" t="s">
        <v>149</v>
      </c>
      <c r="E156" s="32"/>
      <c r="F156" s="49">
        <f>F157</f>
        <v>2729</v>
      </c>
      <c r="G156" s="49">
        <f>G157</f>
        <v>1910.3</v>
      </c>
      <c r="H156" s="258">
        <f t="shared" si="53"/>
        <v>0.7</v>
      </c>
      <c r="I156" s="44"/>
      <c r="J156" s="44"/>
      <c r="K156" s="44"/>
    </row>
    <row r="157" spans="1:11" s="45" customFormat="1" ht="31.5" x14ac:dyDescent="0.2">
      <c r="A157" s="43" t="s">
        <v>150</v>
      </c>
      <c r="B157" s="31" t="s">
        <v>8</v>
      </c>
      <c r="C157" s="31" t="s">
        <v>134</v>
      </c>
      <c r="D157" s="31" t="s">
        <v>149</v>
      </c>
      <c r="E157" s="31" t="s">
        <v>151</v>
      </c>
      <c r="F157" s="49">
        <f>F158</f>
        <v>2729</v>
      </c>
      <c r="G157" s="29">
        <f t="shared" ref="G157" si="59">G158</f>
        <v>1910.3</v>
      </c>
      <c r="H157" s="258">
        <f t="shared" si="53"/>
        <v>0.7</v>
      </c>
      <c r="I157" s="44"/>
      <c r="J157" s="44"/>
      <c r="K157" s="44"/>
    </row>
    <row r="158" spans="1:11" s="45" customFormat="1" x14ac:dyDescent="0.2">
      <c r="A158" s="89" t="s">
        <v>152</v>
      </c>
      <c r="B158" s="31" t="s">
        <v>8</v>
      </c>
      <c r="C158" s="31" t="s">
        <v>134</v>
      </c>
      <c r="D158" s="31" t="s">
        <v>149</v>
      </c>
      <c r="E158" s="31" t="s">
        <v>153</v>
      </c>
      <c r="F158" s="49">
        <f>2637.1+91.9</f>
        <v>2729</v>
      </c>
      <c r="G158" s="29">
        <v>1910.3</v>
      </c>
      <c r="H158" s="258">
        <f t="shared" si="53"/>
        <v>0.7</v>
      </c>
      <c r="I158" s="4"/>
      <c r="J158" s="44"/>
      <c r="K158" s="44"/>
    </row>
    <row r="159" spans="1:11" s="45" customFormat="1" ht="15.6" hidden="1" customHeight="1" x14ac:dyDescent="0.2">
      <c r="A159" s="23" t="s">
        <v>67</v>
      </c>
      <c r="B159" s="15" t="s">
        <v>8</v>
      </c>
      <c r="C159" s="15" t="s">
        <v>134</v>
      </c>
      <c r="D159" s="15" t="s">
        <v>68</v>
      </c>
      <c r="E159" s="24" t="s">
        <v>4</v>
      </c>
      <c r="F159" s="48">
        <f>F160</f>
        <v>0</v>
      </c>
      <c r="G159" s="25">
        <f t="shared" ref="G159:G160" si="60">G160</f>
        <v>0</v>
      </c>
      <c r="H159" s="258" t="e">
        <f t="shared" si="53"/>
        <v>#DIV/0!</v>
      </c>
      <c r="I159" s="44"/>
      <c r="J159" s="44"/>
      <c r="K159" s="44"/>
    </row>
    <row r="160" spans="1:11" s="45" customFormat="1" ht="15.6" hidden="1" customHeight="1" x14ac:dyDescent="0.2">
      <c r="A160" s="30" t="s">
        <v>33</v>
      </c>
      <c r="B160" s="31" t="s">
        <v>8</v>
      </c>
      <c r="C160" s="31" t="s">
        <v>134</v>
      </c>
      <c r="D160" s="31" t="s">
        <v>69</v>
      </c>
      <c r="E160" s="24"/>
      <c r="F160" s="49">
        <f>F161</f>
        <v>0</v>
      </c>
      <c r="G160" s="29">
        <f t="shared" si="60"/>
        <v>0</v>
      </c>
      <c r="H160" s="258" t="e">
        <f t="shared" si="53"/>
        <v>#DIV/0!</v>
      </c>
      <c r="I160" s="44"/>
      <c r="J160" s="44"/>
      <c r="K160" s="44"/>
    </row>
    <row r="161" spans="1:11" s="45" customFormat="1" ht="31.15" hidden="1" customHeight="1" x14ac:dyDescent="0.2">
      <c r="A161" s="81" t="s">
        <v>154</v>
      </c>
      <c r="B161" s="31" t="s">
        <v>8</v>
      </c>
      <c r="C161" s="31" t="s">
        <v>134</v>
      </c>
      <c r="D161" s="31" t="s">
        <v>71</v>
      </c>
      <c r="E161" s="31" t="s">
        <v>4</v>
      </c>
      <c r="F161" s="82">
        <f>F162+F164</f>
        <v>0</v>
      </c>
      <c r="G161" s="83">
        <f t="shared" ref="G161" si="61">G162+G164</f>
        <v>0</v>
      </c>
      <c r="H161" s="258" t="e">
        <f t="shared" si="53"/>
        <v>#DIV/0!</v>
      </c>
      <c r="I161" s="44"/>
      <c r="J161" s="44"/>
      <c r="K161" s="44"/>
    </row>
    <row r="162" spans="1:11" s="45" customFormat="1" ht="31.5" hidden="1" customHeight="1" x14ac:dyDescent="0.2">
      <c r="A162" s="43" t="s">
        <v>25</v>
      </c>
      <c r="B162" s="31" t="s">
        <v>8</v>
      </c>
      <c r="C162" s="31" t="s">
        <v>134</v>
      </c>
      <c r="D162" s="31" t="s">
        <v>71</v>
      </c>
      <c r="E162" s="31" t="s">
        <v>36</v>
      </c>
      <c r="F162" s="82">
        <f>F163</f>
        <v>0</v>
      </c>
      <c r="G162" s="83">
        <f t="shared" ref="G162" si="62">G163</f>
        <v>0</v>
      </c>
      <c r="H162" s="258" t="e">
        <f t="shared" si="53"/>
        <v>#DIV/0!</v>
      </c>
      <c r="I162" s="44"/>
      <c r="J162" s="44"/>
      <c r="K162" s="44"/>
    </row>
    <row r="163" spans="1:11" s="45" customFormat="1" ht="31.5" hidden="1" customHeight="1" x14ac:dyDescent="0.2">
      <c r="A163" s="43" t="s">
        <v>26</v>
      </c>
      <c r="B163" s="31" t="s">
        <v>8</v>
      </c>
      <c r="C163" s="31" t="s">
        <v>134</v>
      </c>
      <c r="D163" s="31" t="s">
        <v>71</v>
      </c>
      <c r="E163" s="31" t="s">
        <v>37</v>
      </c>
      <c r="F163" s="82"/>
      <c r="G163" s="83"/>
      <c r="H163" s="258" t="e">
        <f t="shared" si="53"/>
        <v>#DIV/0!</v>
      </c>
      <c r="I163" s="44"/>
      <c r="J163" s="44"/>
      <c r="K163" s="44"/>
    </row>
    <row r="164" spans="1:11" s="45" customFormat="1" ht="15.6" hidden="1" customHeight="1" x14ac:dyDescent="0.2">
      <c r="A164" s="43" t="s">
        <v>27</v>
      </c>
      <c r="B164" s="31" t="s">
        <v>8</v>
      </c>
      <c r="C164" s="31" t="s">
        <v>134</v>
      </c>
      <c r="D164" s="31" t="s">
        <v>71</v>
      </c>
      <c r="E164" s="31" t="s">
        <v>155</v>
      </c>
      <c r="F164" s="82">
        <f>F165</f>
        <v>0</v>
      </c>
      <c r="G164" s="83">
        <f t="shared" ref="G164" si="63">G165</f>
        <v>0</v>
      </c>
      <c r="H164" s="258" t="e">
        <f t="shared" si="53"/>
        <v>#DIV/0!</v>
      </c>
      <c r="I164" s="44"/>
      <c r="J164" s="44"/>
      <c r="K164" s="44"/>
    </row>
    <row r="165" spans="1:11" s="45" customFormat="1" ht="15.6" hidden="1" customHeight="1" x14ac:dyDescent="0.2">
      <c r="A165" s="43" t="s">
        <v>156</v>
      </c>
      <c r="B165" s="31" t="s">
        <v>8</v>
      </c>
      <c r="C165" s="31" t="s">
        <v>134</v>
      </c>
      <c r="D165" s="31" t="s">
        <v>71</v>
      </c>
      <c r="E165" s="31" t="s">
        <v>157</v>
      </c>
      <c r="F165" s="82"/>
      <c r="G165" s="83"/>
      <c r="H165" s="258" t="e">
        <f t="shared" si="53"/>
        <v>#DIV/0!</v>
      </c>
      <c r="I165" s="44"/>
      <c r="J165" s="44"/>
      <c r="K165" s="44"/>
    </row>
    <row r="166" spans="1:11" s="45" customFormat="1" ht="63" x14ac:dyDescent="0.2">
      <c r="A166" s="90" t="s">
        <v>158</v>
      </c>
      <c r="B166" s="15" t="s">
        <v>8</v>
      </c>
      <c r="C166" s="15" t="s">
        <v>134</v>
      </c>
      <c r="D166" s="15" t="s">
        <v>60</v>
      </c>
      <c r="E166" s="15"/>
      <c r="F166" s="65">
        <f t="shared" ref="F166:G169" si="64">F167</f>
        <v>519.1</v>
      </c>
      <c r="G166" s="65">
        <f t="shared" si="64"/>
        <v>0</v>
      </c>
      <c r="H166" s="258">
        <f t="shared" si="53"/>
        <v>0</v>
      </c>
      <c r="I166" s="44"/>
      <c r="J166" s="44"/>
      <c r="K166" s="44"/>
    </row>
    <row r="167" spans="1:11" s="45" customFormat="1" ht="33" customHeight="1" x14ac:dyDescent="0.2">
      <c r="A167" s="43" t="s">
        <v>159</v>
      </c>
      <c r="B167" s="31" t="s">
        <v>8</v>
      </c>
      <c r="C167" s="31" t="s">
        <v>134</v>
      </c>
      <c r="D167" s="31" t="s">
        <v>160</v>
      </c>
      <c r="E167" s="31"/>
      <c r="F167" s="82">
        <f t="shared" si="64"/>
        <v>519.1</v>
      </c>
      <c r="G167" s="82">
        <f t="shared" si="64"/>
        <v>0</v>
      </c>
      <c r="H167" s="258">
        <f t="shared" si="53"/>
        <v>0</v>
      </c>
      <c r="I167" s="44"/>
      <c r="J167" s="44"/>
      <c r="K167" s="44"/>
    </row>
    <row r="168" spans="1:11" s="45" customFormat="1" ht="34.9" customHeight="1" x14ac:dyDescent="0.2">
      <c r="A168" s="43" t="s">
        <v>161</v>
      </c>
      <c r="B168" s="31" t="s">
        <v>8</v>
      </c>
      <c r="C168" s="31" t="s">
        <v>134</v>
      </c>
      <c r="D168" s="31" t="s">
        <v>162</v>
      </c>
      <c r="E168" s="31"/>
      <c r="F168" s="82">
        <f t="shared" si="64"/>
        <v>519.1</v>
      </c>
      <c r="G168" s="82">
        <f t="shared" si="64"/>
        <v>0</v>
      </c>
      <c r="H168" s="258">
        <f t="shared" si="53"/>
        <v>0</v>
      </c>
      <c r="I168" s="44"/>
      <c r="J168" s="44"/>
      <c r="K168" s="44"/>
    </row>
    <row r="169" spans="1:11" s="45" customFormat="1" ht="15.6" customHeight="1" x14ac:dyDescent="0.2">
      <c r="A169" s="43" t="s">
        <v>163</v>
      </c>
      <c r="B169" s="31" t="s">
        <v>8</v>
      </c>
      <c r="C169" s="31" t="s">
        <v>134</v>
      </c>
      <c r="D169" s="31" t="s">
        <v>164</v>
      </c>
      <c r="E169" s="31"/>
      <c r="F169" s="82">
        <f t="shared" si="64"/>
        <v>519.1</v>
      </c>
      <c r="G169" s="82">
        <f t="shared" si="64"/>
        <v>0</v>
      </c>
      <c r="H169" s="258">
        <f t="shared" si="53"/>
        <v>0</v>
      </c>
      <c r="I169" s="44"/>
      <c r="J169" s="44"/>
      <c r="K169" s="44"/>
    </row>
    <row r="170" spans="1:11" s="45" customFormat="1" ht="15.6" customHeight="1" x14ac:dyDescent="0.2">
      <c r="A170" s="43" t="s">
        <v>25</v>
      </c>
      <c r="B170" s="31" t="s">
        <v>8</v>
      </c>
      <c r="C170" s="31" t="s">
        <v>134</v>
      </c>
      <c r="D170" s="31" t="s">
        <v>164</v>
      </c>
      <c r="E170" s="58" t="s">
        <v>36</v>
      </c>
      <c r="F170" s="82">
        <f>F171</f>
        <v>519.1</v>
      </c>
      <c r="G170" s="83">
        <f t="shared" ref="G170" si="65">G171</f>
        <v>0</v>
      </c>
      <c r="H170" s="258">
        <f t="shared" si="53"/>
        <v>0</v>
      </c>
      <c r="I170" s="44"/>
      <c r="J170" s="44"/>
      <c r="K170" s="44"/>
    </row>
    <row r="171" spans="1:11" s="45" customFormat="1" ht="15.6" customHeight="1" x14ac:dyDescent="0.2">
      <c r="A171" s="43" t="s">
        <v>26</v>
      </c>
      <c r="B171" s="31" t="s">
        <v>8</v>
      </c>
      <c r="C171" s="31" t="s">
        <v>134</v>
      </c>
      <c r="D171" s="31" t="s">
        <v>164</v>
      </c>
      <c r="E171" s="58" t="s">
        <v>37</v>
      </c>
      <c r="F171" s="82">
        <v>519.1</v>
      </c>
      <c r="G171" s="83">
        <v>0</v>
      </c>
      <c r="H171" s="258">
        <f t="shared" si="53"/>
        <v>0</v>
      </c>
      <c r="I171" s="44"/>
      <c r="J171" s="44"/>
      <c r="K171" s="44"/>
    </row>
    <row r="172" spans="1:11" s="56" customFormat="1" x14ac:dyDescent="0.2">
      <c r="A172" s="64" t="s">
        <v>67</v>
      </c>
      <c r="B172" s="53" t="s">
        <v>8</v>
      </c>
      <c r="C172" s="53" t="s">
        <v>134</v>
      </c>
      <c r="D172" s="53" t="s">
        <v>68</v>
      </c>
      <c r="E172" s="53" t="s">
        <v>4</v>
      </c>
      <c r="F172" s="65">
        <f>F173</f>
        <v>544.4</v>
      </c>
      <c r="G172" s="65">
        <f>G173</f>
        <v>544</v>
      </c>
      <c r="H172" s="258">
        <f t="shared" si="53"/>
        <v>0.99926524614254231</v>
      </c>
      <c r="I172" s="55"/>
      <c r="J172" s="55"/>
      <c r="K172" s="55"/>
    </row>
    <row r="173" spans="1:11" s="56" customFormat="1" x14ac:dyDescent="0.2">
      <c r="A173" s="63" t="s">
        <v>33</v>
      </c>
      <c r="B173" s="58" t="s">
        <v>8</v>
      </c>
      <c r="C173" s="58" t="s">
        <v>134</v>
      </c>
      <c r="D173" s="58" t="s">
        <v>69</v>
      </c>
      <c r="E173" s="58" t="s">
        <v>4</v>
      </c>
      <c r="F173" s="66">
        <f>F174+F184</f>
        <v>544.4</v>
      </c>
      <c r="G173" s="66">
        <f>G174+G184</f>
        <v>544</v>
      </c>
      <c r="H173" s="258">
        <f t="shared" si="53"/>
        <v>0.99926524614254231</v>
      </c>
      <c r="I173" s="55"/>
      <c r="J173" s="55"/>
      <c r="K173" s="55"/>
    </row>
    <row r="174" spans="1:11" s="56" customFormat="1" ht="31.5" x14ac:dyDescent="0.2">
      <c r="A174" s="67" t="s">
        <v>70</v>
      </c>
      <c r="B174" s="68" t="s">
        <v>8</v>
      </c>
      <c r="C174" s="68" t="s">
        <v>134</v>
      </c>
      <c r="D174" s="68" t="s">
        <v>71</v>
      </c>
      <c r="E174" s="68"/>
      <c r="F174" s="69">
        <f>F175+F177+F179+F181</f>
        <v>494.4</v>
      </c>
      <c r="G174" s="69">
        <f>G175+G177+G179+G181</f>
        <v>494</v>
      </c>
      <c r="H174" s="258">
        <f t="shared" si="53"/>
        <v>0.9991909385113269</v>
      </c>
      <c r="I174" s="55"/>
      <c r="J174" s="55"/>
      <c r="K174" s="55"/>
    </row>
    <row r="175" spans="1:11" s="56" customFormat="1" ht="31.5" x14ac:dyDescent="0.2">
      <c r="A175" s="43" t="s">
        <v>25</v>
      </c>
      <c r="B175" s="58" t="s">
        <v>8</v>
      </c>
      <c r="C175" s="58" t="s">
        <v>134</v>
      </c>
      <c r="D175" s="58" t="s">
        <v>71</v>
      </c>
      <c r="E175" s="58" t="s">
        <v>36</v>
      </c>
      <c r="F175" s="66">
        <f>F176</f>
        <v>261.89999999999998</v>
      </c>
      <c r="G175" s="69">
        <f t="shared" ref="G175" si="66">G176</f>
        <v>261.5</v>
      </c>
      <c r="H175" s="258">
        <f t="shared" si="53"/>
        <v>0.99847269950362738</v>
      </c>
      <c r="I175" s="55"/>
      <c r="J175" s="55"/>
      <c r="K175" s="55"/>
    </row>
    <row r="176" spans="1:11" s="56" customFormat="1" ht="31.5" x14ac:dyDescent="0.2">
      <c r="A176" s="43" t="s">
        <v>26</v>
      </c>
      <c r="B176" s="58" t="s">
        <v>8</v>
      </c>
      <c r="C176" s="58" t="s">
        <v>134</v>
      </c>
      <c r="D176" s="58" t="s">
        <v>71</v>
      </c>
      <c r="E176" s="58" t="s">
        <v>37</v>
      </c>
      <c r="F176" s="66">
        <v>261.89999999999998</v>
      </c>
      <c r="G176" s="69">
        <v>261.5</v>
      </c>
      <c r="H176" s="258">
        <f t="shared" si="53"/>
        <v>0.99847269950362738</v>
      </c>
      <c r="I176" s="55"/>
      <c r="J176" s="55"/>
      <c r="K176" s="55"/>
    </row>
    <row r="177" spans="1:13" s="91" customFormat="1" x14ac:dyDescent="0.2">
      <c r="A177" s="63" t="s">
        <v>27</v>
      </c>
      <c r="B177" s="58" t="s">
        <v>8</v>
      </c>
      <c r="C177" s="58" t="s">
        <v>134</v>
      </c>
      <c r="D177" s="58" t="s">
        <v>71</v>
      </c>
      <c r="E177" s="58" t="s">
        <v>155</v>
      </c>
      <c r="F177" s="66">
        <f>F178</f>
        <v>75.5</v>
      </c>
      <c r="G177" s="66">
        <f t="shared" ref="G177" si="67">G178</f>
        <v>75.5</v>
      </c>
      <c r="H177" s="258">
        <f t="shared" si="53"/>
        <v>1</v>
      </c>
      <c r="I177" s="4"/>
      <c r="J177" s="4"/>
      <c r="K177" s="4"/>
      <c r="L177" s="5"/>
      <c r="M177" s="5"/>
    </row>
    <row r="178" spans="1:13" s="60" customFormat="1" x14ac:dyDescent="0.2">
      <c r="A178" s="63" t="s">
        <v>156</v>
      </c>
      <c r="B178" s="58" t="s">
        <v>8</v>
      </c>
      <c r="C178" s="58" t="s">
        <v>134</v>
      </c>
      <c r="D178" s="58" t="s">
        <v>71</v>
      </c>
      <c r="E178" s="58" t="s">
        <v>157</v>
      </c>
      <c r="F178" s="66">
        <v>75.5</v>
      </c>
      <c r="G178" s="66">
        <v>75.5</v>
      </c>
      <c r="H178" s="258">
        <f t="shared" si="53"/>
        <v>1</v>
      </c>
      <c r="I178" s="4"/>
      <c r="J178" s="4"/>
      <c r="K178" s="4"/>
      <c r="L178" s="5"/>
      <c r="M178" s="5"/>
    </row>
    <row r="179" spans="1:13" s="60" customFormat="1" ht="31.5" hidden="1" x14ac:dyDescent="0.2">
      <c r="A179" s="63" t="s">
        <v>150</v>
      </c>
      <c r="B179" s="58" t="s">
        <v>8</v>
      </c>
      <c r="C179" s="58" t="s">
        <v>134</v>
      </c>
      <c r="D179" s="58" t="s">
        <v>71</v>
      </c>
      <c r="E179" s="58" t="s">
        <v>151</v>
      </c>
      <c r="F179" s="66">
        <f>F180</f>
        <v>0</v>
      </c>
      <c r="G179" s="66">
        <f t="shared" ref="G179" si="68">G180</f>
        <v>0</v>
      </c>
      <c r="H179" s="258" t="e">
        <f t="shared" si="53"/>
        <v>#DIV/0!</v>
      </c>
      <c r="I179" s="4"/>
      <c r="J179" s="4"/>
      <c r="K179" s="4"/>
      <c r="L179" s="5"/>
      <c r="M179" s="5"/>
    </row>
    <row r="180" spans="1:13" s="60" customFormat="1" ht="34.9" hidden="1" customHeight="1" x14ac:dyDescent="0.2">
      <c r="A180" s="63" t="s">
        <v>165</v>
      </c>
      <c r="B180" s="58" t="s">
        <v>8</v>
      </c>
      <c r="C180" s="58" t="s">
        <v>134</v>
      </c>
      <c r="D180" s="58" t="s">
        <v>71</v>
      </c>
      <c r="E180" s="58" t="s">
        <v>166</v>
      </c>
      <c r="F180" s="66">
        <v>0</v>
      </c>
      <c r="G180" s="66">
        <v>0</v>
      </c>
      <c r="H180" s="258" t="e">
        <f t="shared" si="53"/>
        <v>#DIV/0!</v>
      </c>
      <c r="I180" s="4"/>
      <c r="J180" s="4"/>
      <c r="K180" s="4"/>
      <c r="L180" s="5"/>
      <c r="M180" s="5"/>
    </row>
    <row r="181" spans="1:13" s="60" customFormat="1" ht="31.5" x14ac:dyDescent="0.2">
      <c r="A181" s="63" t="s">
        <v>150</v>
      </c>
      <c r="B181" s="58" t="s">
        <v>8</v>
      </c>
      <c r="C181" s="58" t="s">
        <v>134</v>
      </c>
      <c r="D181" s="58" t="s">
        <v>71</v>
      </c>
      <c r="E181" s="58" t="s">
        <v>130</v>
      </c>
      <c r="F181" s="66">
        <f>F182+F183</f>
        <v>157</v>
      </c>
      <c r="G181" s="66">
        <f t="shared" ref="G181" si="69">G182+G183</f>
        <v>157</v>
      </c>
      <c r="H181" s="258">
        <f t="shared" si="53"/>
        <v>1</v>
      </c>
      <c r="I181" s="4"/>
      <c r="J181" s="4"/>
      <c r="K181" s="4"/>
      <c r="L181" s="5"/>
      <c r="M181" s="5"/>
    </row>
    <row r="182" spans="1:13" s="60" customFormat="1" ht="34.9" customHeight="1" x14ac:dyDescent="0.2">
      <c r="A182" s="63" t="s">
        <v>165</v>
      </c>
      <c r="B182" s="58" t="s">
        <v>8</v>
      </c>
      <c r="C182" s="58" t="s">
        <v>134</v>
      </c>
      <c r="D182" s="58" t="s">
        <v>71</v>
      </c>
      <c r="E182" s="58" t="s">
        <v>167</v>
      </c>
      <c r="F182" s="66">
        <v>100</v>
      </c>
      <c r="G182" s="66">
        <v>100</v>
      </c>
      <c r="H182" s="258">
        <f t="shared" si="53"/>
        <v>1</v>
      </c>
      <c r="I182" s="4"/>
      <c r="J182" s="4"/>
      <c r="K182" s="4"/>
      <c r="L182" s="5"/>
      <c r="M182" s="5"/>
    </row>
    <row r="183" spans="1:13" s="60" customFormat="1" x14ac:dyDescent="0.2">
      <c r="A183" s="63" t="s">
        <v>31</v>
      </c>
      <c r="B183" s="58" t="s">
        <v>8</v>
      </c>
      <c r="C183" s="58" t="s">
        <v>134</v>
      </c>
      <c r="D183" s="58" t="s">
        <v>71</v>
      </c>
      <c r="E183" s="58" t="s">
        <v>168</v>
      </c>
      <c r="F183" s="66">
        <v>57</v>
      </c>
      <c r="G183" s="66">
        <v>57</v>
      </c>
      <c r="H183" s="258">
        <f t="shared" si="53"/>
        <v>1</v>
      </c>
      <c r="I183" s="4"/>
      <c r="J183" s="4"/>
      <c r="K183" s="4"/>
      <c r="L183" s="5"/>
      <c r="M183" s="5"/>
    </row>
    <row r="184" spans="1:13" s="56" customFormat="1" ht="49.15" customHeight="1" x14ac:dyDescent="0.2">
      <c r="A184" s="67" t="s">
        <v>169</v>
      </c>
      <c r="B184" s="68" t="s">
        <v>8</v>
      </c>
      <c r="C184" s="68" t="s">
        <v>134</v>
      </c>
      <c r="D184" s="68" t="s">
        <v>170</v>
      </c>
      <c r="E184" s="68"/>
      <c r="F184" s="69">
        <f>F185</f>
        <v>50</v>
      </c>
      <c r="G184" s="69">
        <f t="shared" ref="G184:G185" si="70">G185</f>
        <v>50</v>
      </c>
      <c r="H184" s="258">
        <f t="shared" si="53"/>
        <v>1</v>
      </c>
      <c r="I184" s="55"/>
      <c r="J184" s="55"/>
      <c r="K184" s="55"/>
    </row>
    <row r="185" spans="1:13" s="60" customFormat="1" x14ac:dyDescent="0.2">
      <c r="A185" s="63" t="s">
        <v>27</v>
      </c>
      <c r="B185" s="58" t="s">
        <v>8</v>
      </c>
      <c r="C185" s="58" t="s">
        <v>134</v>
      </c>
      <c r="D185" s="58" t="s">
        <v>170</v>
      </c>
      <c r="E185" s="58" t="s">
        <v>155</v>
      </c>
      <c r="F185" s="66">
        <f>F186</f>
        <v>50</v>
      </c>
      <c r="G185" s="66">
        <f t="shared" si="70"/>
        <v>50</v>
      </c>
      <c r="H185" s="258">
        <f t="shared" si="53"/>
        <v>1</v>
      </c>
      <c r="I185" s="4"/>
      <c r="J185" s="4"/>
      <c r="K185" s="4"/>
      <c r="L185" s="5"/>
      <c r="M185" s="5"/>
    </row>
    <row r="186" spans="1:13" s="60" customFormat="1" x14ac:dyDescent="0.2">
      <c r="A186" s="63" t="s">
        <v>156</v>
      </c>
      <c r="B186" s="58" t="s">
        <v>8</v>
      </c>
      <c r="C186" s="58" t="s">
        <v>134</v>
      </c>
      <c r="D186" s="58" t="s">
        <v>170</v>
      </c>
      <c r="E186" s="58" t="s">
        <v>157</v>
      </c>
      <c r="F186" s="66">
        <v>50</v>
      </c>
      <c r="G186" s="66">
        <v>50</v>
      </c>
      <c r="H186" s="258">
        <f t="shared" si="53"/>
        <v>1</v>
      </c>
      <c r="I186" s="4"/>
      <c r="J186" s="4"/>
      <c r="K186" s="4"/>
      <c r="L186" s="5"/>
      <c r="M186" s="5"/>
    </row>
    <row r="187" spans="1:13" s="96" customFormat="1" ht="34.5" customHeight="1" x14ac:dyDescent="0.2">
      <c r="A187" s="92" t="s">
        <v>171</v>
      </c>
      <c r="B187" s="93" t="s">
        <v>8</v>
      </c>
      <c r="C187" s="93" t="s">
        <v>134</v>
      </c>
      <c r="D187" s="93" t="s">
        <v>172</v>
      </c>
      <c r="E187" s="94"/>
      <c r="F187" s="48">
        <f>F188</f>
        <v>3428.3999999999996</v>
      </c>
      <c r="G187" s="48">
        <f>G188</f>
        <v>1538.9</v>
      </c>
      <c r="H187" s="258">
        <f t="shared" si="53"/>
        <v>0.44886827674717078</v>
      </c>
      <c r="I187" s="4"/>
      <c r="J187" s="4"/>
      <c r="K187" s="4"/>
      <c r="L187" s="5"/>
      <c r="M187" s="5"/>
    </row>
    <row r="188" spans="1:13" s="5" customFormat="1" x14ac:dyDescent="0.2">
      <c r="A188" s="30" t="s">
        <v>173</v>
      </c>
      <c r="B188" s="31" t="s">
        <v>8</v>
      </c>
      <c r="C188" s="31" t="s">
        <v>134</v>
      </c>
      <c r="D188" s="31" t="s">
        <v>174</v>
      </c>
      <c r="E188" s="32"/>
      <c r="F188" s="49">
        <f>F189</f>
        <v>3428.3999999999996</v>
      </c>
      <c r="G188" s="49">
        <f>G189</f>
        <v>1538.9</v>
      </c>
      <c r="H188" s="258">
        <f t="shared" si="53"/>
        <v>0.44886827674717078</v>
      </c>
      <c r="I188" s="4"/>
      <c r="J188" s="4"/>
      <c r="K188" s="4"/>
    </row>
    <row r="189" spans="1:13" s="5" customFormat="1" x14ac:dyDescent="0.2">
      <c r="A189" s="30" t="s">
        <v>175</v>
      </c>
      <c r="B189" s="31" t="s">
        <v>8</v>
      </c>
      <c r="C189" s="31" t="s">
        <v>134</v>
      </c>
      <c r="D189" s="31" t="s">
        <v>176</v>
      </c>
      <c r="E189" s="32"/>
      <c r="F189" s="49">
        <f>F190+F193+F198+F203+F210+F213</f>
        <v>3428.3999999999996</v>
      </c>
      <c r="G189" s="49">
        <f>G190+G193+G198+G203+G210+G213</f>
        <v>1538.9</v>
      </c>
      <c r="H189" s="258">
        <f t="shared" si="53"/>
        <v>0.44886827674717078</v>
      </c>
      <c r="I189" s="4"/>
      <c r="J189" s="4"/>
      <c r="K189" s="4"/>
    </row>
    <row r="190" spans="1:13" s="5" customFormat="1" ht="16.5" customHeight="1" x14ac:dyDescent="0.2">
      <c r="A190" s="30" t="s">
        <v>177</v>
      </c>
      <c r="B190" s="31" t="s">
        <v>8</v>
      </c>
      <c r="C190" s="31" t="s">
        <v>134</v>
      </c>
      <c r="D190" s="31" t="s">
        <v>178</v>
      </c>
      <c r="E190" s="32"/>
      <c r="F190" s="49">
        <f>F191</f>
        <v>1550</v>
      </c>
      <c r="G190" s="49">
        <f>G191</f>
        <v>1000</v>
      </c>
      <c r="H190" s="258">
        <f t="shared" si="53"/>
        <v>0.64516129032258063</v>
      </c>
      <c r="I190" s="4"/>
      <c r="J190" s="4"/>
      <c r="K190" s="4"/>
    </row>
    <row r="191" spans="1:13" s="5" customFormat="1" ht="34.5" customHeight="1" x14ac:dyDescent="0.2">
      <c r="A191" s="43" t="s">
        <v>25</v>
      </c>
      <c r="B191" s="31" t="s">
        <v>8</v>
      </c>
      <c r="C191" s="31" t="s">
        <v>134</v>
      </c>
      <c r="D191" s="31" t="s">
        <v>178</v>
      </c>
      <c r="E191" s="32">
        <v>200</v>
      </c>
      <c r="F191" s="49">
        <f>F192</f>
        <v>1550</v>
      </c>
      <c r="G191" s="49">
        <f>G192</f>
        <v>1000</v>
      </c>
      <c r="H191" s="258">
        <f t="shared" si="53"/>
        <v>0.64516129032258063</v>
      </c>
      <c r="I191" s="4"/>
      <c r="J191" s="4"/>
      <c r="K191" s="4"/>
    </row>
    <row r="192" spans="1:13" s="28" customFormat="1" ht="33" customHeight="1" x14ac:dyDescent="0.2">
      <c r="A192" s="43" t="s">
        <v>26</v>
      </c>
      <c r="B192" s="31" t="s">
        <v>8</v>
      </c>
      <c r="C192" s="31" t="s">
        <v>134</v>
      </c>
      <c r="D192" s="31" t="s">
        <v>178</v>
      </c>
      <c r="E192" s="32">
        <v>240</v>
      </c>
      <c r="F192" s="49">
        <v>1550</v>
      </c>
      <c r="G192" s="49">
        <v>1000</v>
      </c>
      <c r="H192" s="258">
        <f t="shared" si="53"/>
        <v>0.64516129032258063</v>
      </c>
      <c r="I192" s="4"/>
      <c r="J192" s="4"/>
      <c r="K192" s="4"/>
      <c r="L192" s="5"/>
      <c r="M192" s="5"/>
    </row>
    <row r="193" spans="1:13" s="28" customFormat="1" ht="21" customHeight="1" x14ac:dyDescent="0.2">
      <c r="A193" s="30" t="s">
        <v>179</v>
      </c>
      <c r="B193" s="31" t="s">
        <v>8</v>
      </c>
      <c r="C193" s="31" t="s">
        <v>134</v>
      </c>
      <c r="D193" s="31" t="s">
        <v>180</v>
      </c>
      <c r="E193" s="32"/>
      <c r="F193" s="49">
        <f>F194+F196</f>
        <v>750.6</v>
      </c>
      <c r="G193" s="49">
        <f>G194+G196</f>
        <v>202.7</v>
      </c>
      <c r="H193" s="258">
        <f t="shared" si="53"/>
        <v>0.27005062616573405</v>
      </c>
      <c r="I193" s="4"/>
      <c r="J193" s="4"/>
      <c r="K193" s="4"/>
      <c r="L193" s="5"/>
      <c r="M193" s="5"/>
    </row>
    <row r="194" spans="1:13" s="5" customFormat="1" ht="34.5" customHeight="1" x14ac:dyDescent="0.2">
      <c r="A194" s="43" t="s">
        <v>25</v>
      </c>
      <c r="B194" s="31" t="s">
        <v>8</v>
      </c>
      <c r="C194" s="31" t="s">
        <v>134</v>
      </c>
      <c r="D194" s="31" t="s">
        <v>180</v>
      </c>
      <c r="E194" s="32">
        <v>200</v>
      </c>
      <c r="F194" s="49">
        <f>F195</f>
        <v>645.6</v>
      </c>
      <c r="G194" s="49">
        <f>G195</f>
        <v>176.5</v>
      </c>
      <c r="H194" s="258">
        <f t="shared" si="53"/>
        <v>0.27338909541511769</v>
      </c>
      <c r="I194" s="4"/>
      <c r="J194" s="4"/>
      <c r="K194" s="4"/>
    </row>
    <row r="195" spans="1:13" s="28" customFormat="1" ht="33" customHeight="1" x14ac:dyDescent="0.2">
      <c r="A195" s="43" t="s">
        <v>26</v>
      </c>
      <c r="B195" s="31" t="s">
        <v>8</v>
      </c>
      <c r="C195" s="31" t="s">
        <v>134</v>
      </c>
      <c r="D195" s="31" t="s">
        <v>180</v>
      </c>
      <c r="E195" s="32">
        <v>240</v>
      </c>
      <c r="F195" s="49">
        <f>630+15.6</f>
        <v>645.6</v>
      </c>
      <c r="G195" s="49">
        <v>176.5</v>
      </c>
      <c r="H195" s="258">
        <f t="shared" si="53"/>
        <v>0.27338909541511769</v>
      </c>
      <c r="I195" s="4"/>
      <c r="J195" s="4"/>
      <c r="K195" s="4"/>
      <c r="L195" s="5"/>
      <c r="M195" s="5"/>
    </row>
    <row r="196" spans="1:13" s="28" customFormat="1" x14ac:dyDescent="0.2">
      <c r="A196" s="30" t="s">
        <v>29</v>
      </c>
      <c r="B196" s="31" t="s">
        <v>8</v>
      </c>
      <c r="C196" s="31" t="s">
        <v>134</v>
      </c>
      <c r="D196" s="31" t="s">
        <v>180</v>
      </c>
      <c r="E196" s="32">
        <v>800</v>
      </c>
      <c r="F196" s="49">
        <f>F197</f>
        <v>105</v>
      </c>
      <c r="G196" s="49">
        <f>G197</f>
        <v>26.2</v>
      </c>
      <c r="H196" s="258">
        <f t="shared" si="53"/>
        <v>0.24952380952380951</v>
      </c>
      <c r="I196" s="4"/>
      <c r="J196" s="4"/>
      <c r="K196" s="4"/>
      <c r="L196" s="5"/>
      <c r="M196" s="5"/>
    </row>
    <row r="197" spans="1:13" s="28" customFormat="1" x14ac:dyDescent="0.2">
      <c r="A197" s="30" t="s">
        <v>31</v>
      </c>
      <c r="B197" s="31" t="s">
        <v>8</v>
      </c>
      <c r="C197" s="31" t="s">
        <v>134</v>
      </c>
      <c r="D197" s="31" t="s">
        <v>180</v>
      </c>
      <c r="E197" s="32">
        <v>850</v>
      </c>
      <c r="F197" s="49">
        <v>105</v>
      </c>
      <c r="G197" s="49">
        <f>23.9+2.3</f>
        <v>26.2</v>
      </c>
      <c r="H197" s="258">
        <f t="shared" si="53"/>
        <v>0.24952380952380951</v>
      </c>
      <c r="I197" s="4"/>
      <c r="J197" s="4"/>
      <c r="K197" s="4"/>
      <c r="L197" s="5"/>
      <c r="M197" s="5"/>
    </row>
    <row r="198" spans="1:13" s="28" customFormat="1" hidden="1" x14ac:dyDescent="0.2">
      <c r="A198" s="30" t="s">
        <v>181</v>
      </c>
      <c r="B198" s="31" t="s">
        <v>8</v>
      </c>
      <c r="C198" s="31" t="s">
        <v>134</v>
      </c>
      <c r="D198" s="31" t="s">
        <v>182</v>
      </c>
      <c r="E198" s="32"/>
      <c r="F198" s="49">
        <f>F199+F201</f>
        <v>0</v>
      </c>
      <c r="G198" s="49">
        <f>G199+G201</f>
        <v>0</v>
      </c>
      <c r="H198" s="258" t="e">
        <f t="shared" si="53"/>
        <v>#DIV/0!</v>
      </c>
      <c r="I198" s="4"/>
      <c r="J198" s="4"/>
      <c r="K198" s="4"/>
      <c r="L198" s="5"/>
      <c r="M198" s="5"/>
    </row>
    <row r="199" spans="1:13" s="28" customFormat="1" ht="31.5" hidden="1" x14ac:dyDescent="0.2">
      <c r="A199" s="43" t="s">
        <v>25</v>
      </c>
      <c r="B199" s="31" t="s">
        <v>8</v>
      </c>
      <c r="C199" s="31" t="s">
        <v>134</v>
      </c>
      <c r="D199" s="31" t="s">
        <v>182</v>
      </c>
      <c r="E199" s="32">
        <v>200</v>
      </c>
      <c r="F199" s="49">
        <f>F200</f>
        <v>0</v>
      </c>
      <c r="G199" s="49">
        <f>G200</f>
        <v>0</v>
      </c>
      <c r="H199" s="258" t="e">
        <f t="shared" si="53"/>
        <v>#DIV/0!</v>
      </c>
      <c r="I199" s="4"/>
      <c r="J199" s="4"/>
      <c r="K199" s="4"/>
      <c r="L199" s="5"/>
      <c r="M199" s="5"/>
    </row>
    <row r="200" spans="1:13" s="28" customFormat="1" ht="31.5" hidden="1" x14ac:dyDescent="0.2">
      <c r="A200" s="43" t="s">
        <v>26</v>
      </c>
      <c r="B200" s="31" t="s">
        <v>8</v>
      </c>
      <c r="C200" s="31" t="s">
        <v>134</v>
      </c>
      <c r="D200" s="31" t="s">
        <v>182</v>
      </c>
      <c r="E200" s="32">
        <v>240</v>
      </c>
      <c r="F200" s="49"/>
      <c r="G200" s="49"/>
      <c r="H200" s="258" t="e">
        <f t="shared" si="53"/>
        <v>#DIV/0!</v>
      </c>
      <c r="I200" s="4"/>
      <c r="J200" s="4"/>
      <c r="K200" s="4"/>
      <c r="L200" s="5"/>
      <c r="M200" s="5"/>
    </row>
    <row r="201" spans="1:13" s="28" customFormat="1" hidden="1" x14ac:dyDescent="0.2">
      <c r="A201" s="30" t="s">
        <v>29</v>
      </c>
      <c r="B201" s="31" t="s">
        <v>8</v>
      </c>
      <c r="C201" s="31" t="s">
        <v>134</v>
      </c>
      <c r="D201" s="31" t="s">
        <v>182</v>
      </c>
      <c r="E201" s="32">
        <v>800</v>
      </c>
      <c r="F201" s="49">
        <f>F202</f>
        <v>0</v>
      </c>
      <c r="G201" s="49">
        <f>G202</f>
        <v>0</v>
      </c>
      <c r="H201" s="258" t="e">
        <f t="shared" si="53"/>
        <v>#DIV/0!</v>
      </c>
      <c r="I201" s="4"/>
      <c r="J201" s="4"/>
      <c r="K201" s="4"/>
      <c r="L201" s="5"/>
      <c r="M201" s="5"/>
    </row>
    <row r="202" spans="1:13" s="28" customFormat="1" hidden="1" x14ac:dyDescent="0.2">
      <c r="A202" s="43" t="s">
        <v>31</v>
      </c>
      <c r="B202" s="31" t="s">
        <v>8</v>
      </c>
      <c r="C202" s="31" t="s">
        <v>134</v>
      </c>
      <c r="D202" s="31" t="s">
        <v>182</v>
      </c>
      <c r="E202" s="32">
        <v>850</v>
      </c>
      <c r="F202" s="49"/>
      <c r="G202" s="49"/>
      <c r="H202" s="258" t="e">
        <f t="shared" ref="H202:H265" si="71">G202/F202</f>
        <v>#DIV/0!</v>
      </c>
      <c r="I202" s="4"/>
      <c r="J202" s="4"/>
      <c r="K202" s="4"/>
      <c r="L202" s="5"/>
      <c r="M202" s="5"/>
    </row>
    <row r="203" spans="1:13" s="28" customFormat="1" ht="204.75" hidden="1" x14ac:dyDescent="0.2">
      <c r="A203" s="43" t="s">
        <v>183</v>
      </c>
      <c r="B203" s="31" t="s">
        <v>8</v>
      </c>
      <c r="C203" s="31" t="s">
        <v>134</v>
      </c>
      <c r="D203" s="31" t="s">
        <v>184</v>
      </c>
      <c r="E203" s="32"/>
      <c r="F203" s="49">
        <f>F204</f>
        <v>0</v>
      </c>
      <c r="G203" s="49">
        <f>G204</f>
        <v>0</v>
      </c>
      <c r="H203" s="258" t="e">
        <f t="shared" si="71"/>
        <v>#DIV/0!</v>
      </c>
      <c r="I203" s="4"/>
      <c r="J203" s="4"/>
      <c r="K203" s="4"/>
      <c r="L203" s="5"/>
      <c r="M203" s="5"/>
    </row>
    <row r="204" spans="1:13" s="98" customFormat="1" hidden="1" x14ac:dyDescent="0.2">
      <c r="A204" s="30" t="s">
        <v>29</v>
      </c>
      <c r="B204" s="31" t="s">
        <v>8</v>
      </c>
      <c r="C204" s="31" t="s">
        <v>134</v>
      </c>
      <c r="D204" s="31" t="s">
        <v>184</v>
      </c>
      <c r="E204" s="32">
        <v>800</v>
      </c>
      <c r="F204" s="49">
        <f>F205+F206</f>
        <v>0</v>
      </c>
      <c r="G204" s="49">
        <f>G205+G206</f>
        <v>0</v>
      </c>
      <c r="H204" s="258" t="e">
        <f t="shared" si="71"/>
        <v>#DIV/0!</v>
      </c>
      <c r="I204" s="4"/>
      <c r="J204" s="4"/>
      <c r="K204" s="4"/>
      <c r="L204" s="5"/>
      <c r="M204" s="5"/>
    </row>
    <row r="205" spans="1:13" s="45" customFormat="1" ht="31.5" hidden="1" x14ac:dyDescent="0.2">
      <c r="A205" s="43" t="s">
        <v>185</v>
      </c>
      <c r="B205" s="31" t="s">
        <v>8</v>
      </c>
      <c r="C205" s="31" t="s">
        <v>134</v>
      </c>
      <c r="D205" s="31" t="s">
        <v>184</v>
      </c>
      <c r="E205" s="32">
        <v>320</v>
      </c>
      <c r="F205" s="49"/>
      <c r="G205" s="49"/>
      <c r="H205" s="258" t="e">
        <f t="shared" si="71"/>
        <v>#DIV/0!</v>
      </c>
      <c r="I205" s="4"/>
      <c r="J205" s="4"/>
      <c r="K205" s="4"/>
      <c r="L205" s="5"/>
      <c r="M205" s="5"/>
    </row>
    <row r="206" spans="1:13" s="45" customFormat="1" hidden="1" x14ac:dyDescent="0.2">
      <c r="A206" s="38" t="s">
        <v>50</v>
      </c>
      <c r="B206" s="31" t="s">
        <v>8</v>
      </c>
      <c r="C206" s="31" t="s">
        <v>134</v>
      </c>
      <c r="D206" s="31" t="s">
        <v>184</v>
      </c>
      <c r="E206" s="32">
        <v>870</v>
      </c>
      <c r="F206" s="49"/>
      <c r="G206" s="49"/>
      <c r="H206" s="258" t="e">
        <f t="shared" si="71"/>
        <v>#DIV/0!</v>
      </c>
      <c r="I206" s="4"/>
      <c r="J206" s="4"/>
      <c r="K206" s="4"/>
      <c r="L206" s="5"/>
      <c r="M206" s="5"/>
    </row>
    <row r="207" spans="1:13" s="45" customFormat="1" ht="31.5" hidden="1" x14ac:dyDescent="0.2">
      <c r="A207" s="38" t="s">
        <v>186</v>
      </c>
      <c r="B207" s="31" t="s">
        <v>8</v>
      </c>
      <c r="C207" s="31" t="s">
        <v>134</v>
      </c>
      <c r="D207" s="31" t="s">
        <v>187</v>
      </c>
      <c r="E207" s="32"/>
      <c r="F207" s="49">
        <f>F208</f>
        <v>0</v>
      </c>
      <c r="G207" s="49">
        <f>G208</f>
        <v>0</v>
      </c>
      <c r="H207" s="258" t="e">
        <f t="shared" si="71"/>
        <v>#DIV/0!</v>
      </c>
      <c r="I207" s="4"/>
      <c r="J207" s="4"/>
      <c r="K207" s="4"/>
      <c r="L207" s="5"/>
      <c r="M207" s="5"/>
    </row>
    <row r="208" spans="1:13" s="45" customFormat="1" hidden="1" x14ac:dyDescent="0.2">
      <c r="A208" s="30" t="s">
        <v>29</v>
      </c>
      <c r="B208" s="31" t="s">
        <v>8</v>
      </c>
      <c r="C208" s="31" t="s">
        <v>134</v>
      </c>
      <c r="D208" s="31" t="s">
        <v>187</v>
      </c>
      <c r="E208" s="32">
        <v>800</v>
      </c>
      <c r="F208" s="49">
        <f>F209</f>
        <v>0</v>
      </c>
      <c r="G208" s="49">
        <f>G209</f>
        <v>0</v>
      </c>
      <c r="H208" s="258" t="e">
        <f t="shared" si="71"/>
        <v>#DIV/0!</v>
      </c>
      <c r="I208" s="4"/>
      <c r="J208" s="4"/>
      <c r="K208" s="4"/>
      <c r="L208" s="5"/>
      <c r="M208" s="5"/>
    </row>
    <row r="209" spans="1:13" s="102" customFormat="1" hidden="1" x14ac:dyDescent="0.2">
      <c r="A209" s="99"/>
      <c r="B209" s="100" t="s">
        <v>8</v>
      </c>
      <c r="C209" s="100" t="s">
        <v>134</v>
      </c>
      <c r="D209" s="100" t="s">
        <v>187</v>
      </c>
      <c r="E209" s="101">
        <v>850</v>
      </c>
      <c r="F209" s="49"/>
      <c r="G209" s="49"/>
      <c r="H209" s="258" t="e">
        <f t="shared" si="71"/>
        <v>#DIV/0!</v>
      </c>
      <c r="I209" s="4"/>
      <c r="J209" s="4"/>
      <c r="K209" s="4"/>
      <c r="L209" s="5"/>
      <c r="M209" s="5"/>
    </row>
    <row r="210" spans="1:13" s="45" customFormat="1" ht="49.9" hidden="1" customHeight="1" x14ac:dyDescent="0.2">
      <c r="A210" s="30" t="s">
        <v>188</v>
      </c>
      <c r="B210" s="31" t="s">
        <v>8</v>
      </c>
      <c r="C210" s="31" t="s">
        <v>134</v>
      </c>
      <c r="D210" s="31" t="s">
        <v>189</v>
      </c>
      <c r="E210" s="32"/>
      <c r="F210" s="49">
        <f>F211</f>
        <v>0</v>
      </c>
      <c r="G210" s="49">
        <f>G211</f>
        <v>0</v>
      </c>
      <c r="H210" s="258" t="e">
        <f t="shared" si="71"/>
        <v>#DIV/0!</v>
      </c>
      <c r="I210" s="4"/>
      <c r="J210" s="4"/>
      <c r="K210" s="4"/>
      <c r="L210" s="5"/>
      <c r="M210" s="5"/>
    </row>
    <row r="211" spans="1:13" s="45" customFormat="1" hidden="1" x14ac:dyDescent="0.2">
      <c r="A211" s="38" t="s">
        <v>29</v>
      </c>
      <c r="B211" s="31" t="s">
        <v>8</v>
      </c>
      <c r="C211" s="31" t="s">
        <v>134</v>
      </c>
      <c r="D211" s="31" t="s">
        <v>189</v>
      </c>
      <c r="E211" s="32">
        <v>800</v>
      </c>
      <c r="F211" s="49">
        <f>F212</f>
        <v>0</v>
      </c>
      <c r="G211" s="49">
        <f>G212</f>
        <v>0</v>
      </c>
      <c r="H211" s="258" t="e">
        <f t="shared" si="71"/>
        <v>#DIV/0!</v>
      </c>
      <c r="I211" s="4"/>
      <c r="J211" s="4"/>
      <c r="K211" s="4"/>
      <c r="L211" s="5"/>
      <c r="M211" s="5"/>
    </row>
    <row r="212" spans="1:13" s="45" customFormat="1" hidden="1" x14ac:dyDescent="0.2">
      <c r="A212" s="30" t="s">
        <v>30</v>
      </c>
      <c r="B212" s="31" t="s">
        <v>8</v>
      </c>
      <c r="C212" s="31" t="s">
        <v>134</v>
      </c>
      <c r="D212" s="31" t="s">
        <v>189</v>
      </c>
      <c r="E212" s="32">
        <v>830</v>
      </c>
      <c r="F212" s="49"/>
      <c r="G212" s="49"/>
      <c r="H212" s="258" t="e">
        <f t="shared" si="71"/>
        <v>#DIV/0!</v>
      </c>
      <c r="I212" s="4"/>
      <c r="J212" s="4"/>
      <c r="K212" s="4"/>
      <c r="L212" s="5"/>
      <c r="M212" s="5"/>
    </row>
    <row r="213" spans="1:13" s="72" customFormat="1" x14ac:dyDescent="0.2">
      <c r="A213" s="103" t="s">
        <v>190</v>
      </c>
      <c r="B213" s="58" t="s">
        <v>8</v>
      </c>
      <c r="C213" s="58" t="s">
        <v>134</v>
      </c>
      <c r="D213" s="58" t="s">
        <v>191</v>
      </c>
      <c r="E213" s="59"/>
      <c r="F213" s="49">
        <f>F214+F216+F218+F222</f>
        <v>1127.8</v>
      </c>
      <c r="G213" s="49">
        <f>G214+G216+G218+G222</f>
        <v>336.20000000000005</v>
      </c>
      <c r="H213" s="258">
        <f t="shared" si="71"/>
        <v>0.29810250044334108</v>
      </c>
      <c r="I213" s="4"/>
      <c r="J213" s="4"/>
      <c r="K213" s="4"/>
      <c r="L213" s="5"/>
      <c r="M213" s="5"/>
    </row>
    <row r="214" spans="1:13" s="5" customFormat="1" ht="34.5" customHeight="1" x14ac:dyDescent="0.2">
      <c r="A214" s="43" t="s">
        <v>25</v>
      </c>
      <c r="B214" s="31" t="s">
        <v>8</v>
      </c>
      <c r="C214" s="31" t="s">
        <v>134</v>
      </c>
      <c r="D214" s="31" t="s">
        <v>191</v>
      </c>
      <c r="E214" s="32">
        <v>200</v>
      </c>
      <c r="F214" s="51">
        <f>F215</f>
        <v>962</v>
      </c>
      <c r="G214" s="51">
        <f>G215</f>
        <v>170.4</v>
      </c>
      <c r="H214" s="258">
        <f t="shared" si="71"/>
        <v>0.17713097713097714</v>
      </c>
      <c r="I214" s="4"/>
      <c r="J214" s="4"/>
      <c r="K214" s="4"/>
    </row>
    <row r="215" spans="1:13" s="28" customFormat="1" ht="33" customHeight="1" x14ac:dyDescent="0.2">
      <c r="A215" s="43" t="s">
        <v>26</v>
      </c>
      <c r="B215" s="31" t="s">
        <v>8</v>
      </c>
      <c r="C215" s="31" t="s">
        <v>134</v>
      </c>
      <c r="D215" s="31" t="s">
        <v>191</v>
      </c>
      <c r="E215" s="32">
        <v>240</v>
      </c>
      <c r="F215" s="51">
        <v>962</v>
      </c>
      <c r="G215" s="51">
        <v>170.4</v>
      </c>
      <c r="H215" s="258">
        <f t="shared" si="71"/>
        <v>0.17713097713097714</v>
      </c>
      <c r="I215" s="4"/>
      <c r="J215" s="4"/>
      <c r="K215" s="4"/>
      <c r="L215" s="5"/>
      <c r="M215" s="5"/>
    </row>
    <row r="216" spans="1:13" s="28" customFormat="1" hidden="1" x14ac:dyDescent="0.2">
      <c r="A216" s="43" t="s">
        <v>27</v>
      </c>
      <c r="B216" s="31" t="s">
        <v>8</v>
      </c>
      <c r="C216" s="31" t="s">
        <v>134</v>
      </c>
      <c r="D216" s="31" t="s">
        <v>191</v>
      </c>
      <c r="E216" s="32">
        <v>300</v>
      </c>
      <c r="F216" s="51">
        <f>F217</f>
        <v>0</v>
      </c>
      <c r="G216" s="51">
        <f>G217</f>
        <v>0</v>
      </c>
      <c r="H216" s="258" t="e">
        <f t="shared" si="71"/>
        <v>#DIV/0!</v>
      </c>
      <c r="I216" s="4"/>
      <c r="J216" s="4"/>
      <c r="K216" s="4"/>
      <c r="L216" s="5"/>
      <c r="M216" s="5"/>
    </row>
    <row r="217" spans="1:13" s="28" customFormat="1" hidden="1" x14ac:dyDescent="0.2">
      <c r="A217" s="43" t="s">
        <v>28</v>
      </c>
      <c r="B217" s="31" t="s">
        <v>8</v>
      </c>
      <c r="C217" s="31" t="s">
        <v>134</v>
      </c>
      <c r="D217" s="31" t="s">
        <v>191</v>
      </c>
      <c r="E217" s="32">
        <v>350</v>
      </c>
      <c r="F217" s="51"/>
      <c r="G217" s="51"/>
      <c r="H217" s="258" t="e">
        <f t="shared" si="71"/>
        <v>#DIV/0!</v>
      </c>
      <c r="I217" s="4"/>
      <c r="J217" s="4"/>
      <c r="K217" s="4"/>
      <c r="L217" s="5"/>
      <c r="M217" s="5"/>
    </row>
    <row r="218" spans="1:13" s="28" customFormat="1" ht="31.5" x14ac:dyDescent="0.2">
      <c r="A218" s="43" t="s">
        <v>150</v>
      </c>
      <c r="B218" s="31" t="s">
        <v>8</v>
      </c>
      <c r="C218" s="31" t="s">
        <v>134</v>
      </c>
      <c r="D218" s="31" t="s">
        <v>191</v>
      </c>
      <c r="E218" s="31" t="s">
        <v>151</v>
      </c>
      <c r="F218" s="51">
        <f>F219+F220+F221</f>
        <v>0</v>
      </c>
      <c r="G218" s="51">
        <f>G219+G220+G221</f>
        <v>0</v>
      </c>
      <c r="H218" s="258" t="e">
        <f t="shared" si="71"/>
        <v>#DIV/0!</v>
      </c>
      <c r="I218" s="4"/>
      <c r="J218" s="4"/>
      <c r="K218" s="4"/>
      <c r="L218" s="5"/>
      <c r="M218" s="5"/>
    </row>
    <row r="219" spans="1:13" s="28" customFormat="1" hidden="1" x14ac:dyDescent="0.2">
      <c r="A219" s="43" t="s">
        <v>152</v>
      </c>
      <c r="B219" s="31" t="s">
        <v>8</v>
      </c>
      <c r="C219" s="31" t="s">
        <v>134</v>
      </c>
      <c r="D219" s="31" t="s">
        <v>191</v>
      </c>
      <c r="E219" s="31" t="s">
        <v>153</v>
      </c>
      <c r="F219" s="51"/>
      <c r="G219" s="51"/>
      <c r="H219" s="258" t="e">
        <f t="shared" si="71"/>
        <v>#DIV/0!</v>
      </c>
      <c r="I219" s="4"/>
      <c r="J219" s="4"/>
      <c r="K219" s="4"/>
      <c r="L219" s="5"/>
      <c r="M219" s="5"/>
    </row>
    <row r="220" spans="1:13" s="28" customFormat="1" x14ac:dyDescent="0.2">
      <c r="A220" s="43" t="s">
        <v>192</v>
      </c>
      <c r="B220" s="31" t="s">
        <v>8</v>
      </c>
      <c r="C220" s="31" t="s">
        <v>134</v>
      </c>
      <c r="D220" s="31" t="s">
        <v>191</v>
      </c>
      <c r="E220" s="31" t="s">
        <v>193</v>
      </c>
      <c r="F220" s="51">
        <v>0</v>
      </c>
      <c r="G220" s="51">
        <v>0</v>
      </c>
      <c r="H220" s="258" t="e">
        <f t="shared" si="71"/>
        <v>#DIV/0!</v>
      </c>
      <c r="I220" s="4"/>
      <c r="J220" s="4"/>
      <c r="K220" s="4"/>
      <c r="L220" s="5"/>
      <c r="M220" s="5"/>
    </row>
    <row r="221" spans="1:13" s="28" customFormat="1" ht="32.25" hidden="1" customHeight="1" x14ac:dyDescent="0.2">
      <c r="A221" s="43" t="s">
        <v>194</v>
      </c>
      <c r="B221" s="31" t="s">
        <v>8</v>
      </c>
      <c r="C221" s="31" t="s">
        <v>134</v>
      </c>
      <c r="D221" s="31" t="s">
        <v>191</v>
      </c>
      <c r="E221" s="31" t="s">
        <v>166</v>
      </c>
      <c r="F221" s="51">
        <f>45-45</f>
        <v>0</v>
      </c>
      <c r="G221" s="51">
        <f>45-45</f>
        <v>0</v>
      </c>
      <c r="H221" s="258" t="e">
        <f t="shared" si="71"/>
        <v>#DIV/0!</v>
      </c>
      <c r="I221" s="4"/>
      <c r="J221" s="4"/>
      <c r="K221" s="4"/>
      <c r="L221" s="5"/>
      <c r="M221" s="5"/>
    </row>
    <row r="222" spans="1:13" s="45" customFormat="1" x14ac:dyDescent="0.2">
      <c r="A222" s="30" t="s">
        <v>29</v>
      </c>
      <c r="B222" s="31" t="s">
        <v>8</v>
      </c>
      <c r="C222" s="31" t="s">
        <v>134</v>
      </c>
      <c r="D222" s="31" t="s">
        <v>191</v>
      </c>
      <c r="E222" s="31" t="s">
        <v>130</v>
      </c>
      <c r="F222" s="51">
        <f>F223+F224+F225</f>
        <v>165.8</v>
      </c>
      <c r="G222" s="51">
        <f>G223+G224+G225</f>
        <v>165.8</v>
      </c>
      <c r="H222" s="258">
        <f t="shared" si="71"/>
        <v>1</v>
      </c>
      <c r="I222" s="4"/>
      <c r="J222" s="4"/>
      <c r="K222" s="4"/>
      <c r="L222" s="5"/>
      <c r="M222" s="5"/>
    </row>
    <row r="223" spans="1:13" s="45" customFormat="1" ht="63" hidden="1" x14ac:dyDescent="0.2">
      <c r="A223" s="30" t="s">
        <v>195</v>
      </c>
      <c r="B223" s="31" t="s">
        <v>8</v>
      </c>
      <c r="C223" s="31" t="s">
        <v>134</v>
      </c>
      <c r="D223" s="31" t="s">
        <v>191</v>
      </c>
      <c r="E223" s="31" t="s">
        <v>196</v>
      </c>
      <c r="F223" s="104">
        <v>0</v>
      </c>
      <c r="G223" s="104">
        <v>0</v>
      </c>
      <c r="H223" s="258" t="e">
        <f t="shared" si="71"/>
        <v>#DIV/0!</v>
      </c>
      <c r="I223" s="4"/>
      <c r="J223" s="4"/>
      <c r="K223" s="4"/>
      <c r="L223" s="5"/>
      <c r="M223" s="5"/>
    </row>
    <row r="224" spans="1:13" s="45" customFormat="1" x14ac:dyDescent="0.2">
      <c r="A224" s="30" t="s">
        <v>31</v>
      </c>
      <c r="B224" s="31" t="s">
        <v>8</v>
      </c>
      <c r="C224" s="31" t="s">
        <v>134</v>
      </c>
      <c r="D224" s="31" t="s">
        <v>191</v>
      </c>
      <c r="E224" s="31" t="s">
        <v>168</v>
      </c>
      <c r="F224" s="29">
        <v>165.8</v>
      </c>
      <c r="G224" s="29">
        <v>165.8</v>
      </c>
      <c r="H224" s="258">
        <f t="shared" si="71"/>
        <v>1</v>
      </c>
      <c r="I224" s="4"/>
      <c r="J224" s="4"/>
      <c r="K224" s="4"/>
      <c r="L224" s="5"/>
      <c r="M224" s="5"/>
    </row>
    <row r="225" spans="1:13" s="45" customFormat="1" hidden="1" x14ac:dyDescent="0.2">
      <c r="A225" s="38" t="s">
        <v>50</v>
      </c>
      <c r="B225" s="31" t="s">
        <v>8</v>
      </c>
      <c r="C225" s="31" t="s">
        <v>134</v>
      </c>
      <c r="D225" s="31" t="s">
        <v>191</v>
      </c>
      <c r="E225" s="32">
        <v>870</v>
      </c>
      <c r="F225" s="29">
        <f>194+150-344</f>
        <v>0</v>
      </c>
      <c r="G225" s="29">
        <f>194+150-344</f>
        <v>0</v>
      </c>
      <c r="H225" s="258" t="e">
        <f t="shared" si="71"/>
        <v>#DIV/0!</v>
      </c>
      <c r="I225" s="4"/>
      <c r="J225" s="4"/>
      <c r="K225" s="4"/>
      <c r="L225" s="5"/>
      <c r="M225" s="5"/>
    </row>
    <row r="226" spans="1:13" s="45" customFormat="1" ht="15.75" customHeight="1" x14ac:dyDescent="0.2">
      <c r="A226" s="23" t="s">
        <v>197</v>
      </c>
      <c r="B226" s="15" t="s">
        <v>8</v>
      </c>
      <c r="C226" s="15" t="s">
        <v>134</v>
      </c>
      <c r="D226" s="15" t="s">
        <v>198</v>
      </c>
      <c r="E226" s="24"/>
      <c r="F226" s="25">
        <f>F230+F235+F240+F245+F252+F257+F265</f>
        <v>435</v>
      </c>
      <c r="G226" s="25">
        <f>G230+G235+G240+G245+G252+G257+G265</f>
        <v>45</v>
      </c>
      <c r="H226" s="258">
        <f t="shared" si="71"/>
        <v>0.10344827586206896</v>
      </c>
      <c r="I226" s="4"/>
      <c r="J226" s="4"/>
      <c r="K226" s="4"/>
      <c r="L226" s="5"/>
      <c r="M226" s="5"/>
    </row>
    <row r="227" spans="1:13" s="5" customFormat="1" ht="63" hidden="1" x14ac:dyDescent="0.2">
      <c r="A227" s="105" t="s">
        <v>199</v>
      </c>
      <c r="B227" s="40" t="s">
        <v>8</v>
      </c>
      <c r="C227" s="40" t="s">
        <v>134</v>
      </c>
      <c r="D227" s="40" t="s">
        <v>200</v>
      </c>
      <c r="E227" s="106"/>
      <c r="F227" s="42">
        <f>F228</f>
        <v>0</v>
      </c>
      <c r="G227" s="42">
        <f>G228</f>
        <v>0</v>
      </c>
      <c r="H227" s="258" t="e">
        <f t="shared" si="71"/>
        <v>#DIV/0!</v>
      </c>
      <c r="I227" s="4"/>
      <c r="J227" s="4"/>
      <c r="K227" s="4"/>
    </row>
    <row r="228" spans="1:13" s="5" customFormat="1" hidden="1" x14ac:dyDescent="0.2">
      <c r="A228" s="30" t="s">
        <v>29</v>
      </c>
      <c r="B228" s="31" t="s">
        <v>8</v>
      </c>
      <c r="C228" s="31" t="s">
        <v>134</v>
      </c>
      <c r="D228" s="31" t="s">
        <v>200</v>
      </c>
      <c r="E228" s="32">
        <v>800</v>
      </c>
      <c r="F228" s="29">
        <f>F229</f>
        <v>0</v>
      </c>
      <c r="G228" s="29">
        <f>G229</f>
        <v>0</v>
      </c>
      <c r="H228" s="258" t="e">
        <f t="shared" si="71"/>
        <v>#DIV/0!</v>
      </c>
      <c r="I228" s="4"/>
      <c r="J228" s="4"/>
      <c r="K228" s="4"/>
    </row>
    <row r="229" spans="1:13" s="5" customFormat="1" hidden="1" x14ac:dyDescent="0.2">
      <c r="A229" s="38" t="s">
        <v>50</v>
      </c>
      <c r="B229" s="31" t="s">
        <v>8</v>
      </c>
      <c r="C229" s="31" t="s">
        <v>134</v>
      </c>
      <c r="D229" s="31" t="s">
        <v>200</v>
      </c>
      <c r="E229" s="32">
        <v>870</v>
      </c>
      <c r="F229" s="29">
        <f>500-500</f>
        <v>0</v>
      </c>
      <c r="G229" s="29">
        <f>500-500</f>
        <v>0</v>
      </c>
      <c r="H229" s="258" t="e">
        <f t="shared" si="71"/>
        <v>#DIV/0!</v>
      </c>
      <c r="I229" s="4"/>
      <c r="J229" s="4"/>
      <c r="K229" s="4"/>
    </row>
    <row r="230" spans="1:13" s="96" customFormat="1" ht="47.25" x14ac:dyDescent="0.2">
      <c r="A230" s="107" t="s">
        <v>201</v>
      </c>
      <c r="B230" s="108" t="s">
        <v>8</v>
      </c>
      <c r="C230" s="108" t="s">
        <v>134</v>
      </c>
      <c r="D230" s="108" t="s">
        <v>200</v>
      </c>
      <c r="E230" s="109"/>
      <c r="F230" s="110">
        <f>F231</f>
        <v>105</v>
      </c>
      <c r="G230" s="110">
        <f>G231</f>
        <v>0</v>
      </c>
      <c r="H230" s="258">
        <f t="shared" si="71"/>
        <v>0</v>
      </c>
      <c r="I230" s="4"/>
      <c r="J230" s="4"/>
      <c r="K230" s="4"/>
      <c r="L230" s="5"/>
      <c r="M230" s="5"/>
    </row>
    <row r="231" spans="1:13" s="96" customFormat="1" ht="31.5" x14ac:dyDescent="0.2">
      <c r="A231" s="43" t="s">
        <v>25</v>
      </c>
      <c r="B231" s="100" t="s">
        <v>8</v>
      </c>
      <c r="C231" s="100" t="s">
        <v>134</v>
      </c>
      <c r="D231" s="100" t="s">
        <v>200</v>
      </c>
      <c r="E231" s="32">
        <v>200</v>
      </c>
      <c r="F231" s="111">
        <f>F232</f>
        <v>105</v>
      </c>
      <c r="G231" s="111">
        <f>G232</f>
        <v>0</v>
      </c>
      <c r="H231" s="258">
        <f t="shared" si="71"/>
        <v>0</v>
      </c>
      <c r="I231" s="4"/>
      <c r="J231" s="4"/>
      <c r="K231" s="4"/>
      <c r="L231" s="5"/>
      <c r="M231" s="5"/>
    </row>
    <row r="232" spans="1:13" s="96" customFormat="1" ht="31.5" x14ac:dyDescent="0.2">
      <c r="A232" s="43" t="s">
        <v>26</v>
      </c>
      <c r="B232" s="100" t="s">
        <v>8</v>
      </c>
      <c r="C232" s="100" t="s">
        <v>134</v>
      </c>
      <c r="D232" s="100" t="s">
        <v>200</v>
      </c>
      <c r="E232" s="32">
        <v>240</v>
      </c>
      <c r="F232" s="111">
        <v>105</v>
      </c>
      <c r="G232" s="111">
        <v>0</v>
      </c>
      <c r="H232" s="258">
        <f t="shared" si="71"/>
        <v>0</v>
      </c>
      <c r="I232" s="4"/>
      <c r="J232" s="4"/>
      <c r="K232" s="4"/>
      <c r="L232" s="5"/>
      <c r="M232" s="5"/>
    </row>
    <row r="233" spans="1:13" s="113" customFormat="1" hidden="1" x14ac:dyDescent="0.2">
      <c r="A233" s="112" t="s">
        <v>29</v>
      </c>
      <c r="B233" s="100" t="s">
        <v>8</v>
      </c>
      <c r="C233" s="100" t="s">
        <v>134</v>
      </c>
      <c r="D233" s="100" t="s">
        <v>200</v>
      </c>
      <c r="E233" s="101">
        <v>800</v>
      </c>
      <c r="F233" s="97">
        <f>F234</f>
        <v>0</v>
      </c>
      <c r="G233" s="97">
        <f>G234</f>
        <v>0</v>
      </c>
      <c r="H233" s="258" t="e">
        <f t="shared" si="71"/>
        <v>#DIV/0!</v>
      </c>
      <c r="I233" s="4"/>
      <c r="J233" s="4"/>
      <c r="K233" s="4"/>
      <c r="L233" s="5"/>
      <c r="M233" s="5"/>
    </row>
    <row r="234" spans="1:13" s="113" customFormat="1" hidden="1" x14ac:dyDescent="0.2">
      <c r="A234" s="99" t="s">
        <v>50</v>
      </c>
      <c r="B234" s="100" t="s">
        <v>8</v>
      </c>
      <c r="C234" s="100" t="s">
        <v>134</v>
      </c>
      <c r="D234" s="100" t="s">
        <v>200</v>
      </c>
      <c r="E234" s="101">
        <v>870</v>
      </c>
      <c r="F234" s="97">
        <f>1085-1085</f>
        <v>0</v>
      </c>
      <c r="G234" s="97">
        <f>1085-1085</f>
        <v>0</v>
      </c>
      <c r="H234" s="258" t="e">
        <f t="shared" si="71"/>
        <v>#DIV/0!</v>
      </c>
      <c r="I234" s="4"/>
      <c r="J234" s="4"/>
      <c r="K234" s="4"/>
      <c r="L234" s="5"/>
      <c r="M234" s="5"/>
    </row>
    <row r="235" spans="1:13" s="113" customFormat="1" ht="47.25" x14ac:dyDescent="0.2">
      <c r="A235" s="107" t="s">
        <v>202</v>
      </c>
      <c r="B235" s="108" t="s">
        <v>8</v>
      </c>
      <c r="C235" s="108" t="s">
        <v>134</v>
      </c>
      <c r="D235" s="108" t="s">
        <v>203</v>
      </c>
      <c r="E235" s="109"/>
      <c r="F235" s="110">
        <f>F236</f>
        <v>10</v>
      </c>
      <c r="G235" s="110">
        <f>G236</f>
        <v>0</v>
      </c>
      <c r="H235" s="258">
        <f t="shared" si="71"/>
        <v>0</v>
      </c>
      <c r="I235" s="4"/>
      <c r="J235" s="4"/>
      <c r="K235" s="4"/>
      <c r="L235" s="5"/>
      <c r="M235" s="5"/>
    </row>
    <row r="236" spans="1:13" s="113" customFormat="1" ht="31.5" x14ac:dyDescent="0.2">
      <c r="A236" s="43" t="s">
        <v>25</v>
      </c>
      <c r="B236" s="100" t="s">
        <v>8</v>
      </c>
      <c r="C236" s="100" t="s">
        <v>134</v>
      </c>
      <c r="D236" s="100" t="s">
        <v>203</v>
      </c>
      <c r="E236" s="101">
        <v>200</v>
      </c>
      <c r="F236" s="114">
        <f>F237</f>
        <v>10</v>
      </c>
      <c r="G236" s="114">
        <f>G237</f>
        <v>0</v>
      </c>
      <c r="H236" s="258">
        <f t="shared" si="71"/>
        <v>0</v>
      </c>
      <c r="I236" s="4"/>
      <c r="J236" s="4"/>
      <c r="K236" s="4"/>
      <c r="L236" s="5"/>
      <c r="M236" s="5"/>
    </row>
    <row r="237" spans="1:13" s="113" customFormat="1" ht="31.5" x14ac:dyDescent="0.2">
      <c r="A237" s="43" t="s">
        <v>26</v>
      </c>
      <c r="B237" s="100" t="s">
        <v>8</v>
      </c>
      <c r="C237" s="100" t="s">
        <v>134</v>
      </c>
      <c r="D237" s="100" t="s">
        <v>203</v>
      </c>
      <c r="E237" s="101">
        <v>240</v>
      </c>
      <c r="F237" s="114">
        <v>10</v>
      </c>
      <c r="G237" s="114">
        <v>0</v>
      </c>
      <c r="H237" s="258">
        <f t="shared" si="71"/>
        <v>0</v>
      </c>
      <c r="I237" s="4"/>
      <c r="J237" s="4"/>
      <c r="K237" s="4"/>
      <c r="L237" s="5"/>
      <c r="M237" s="5"/>
    </row>
    <row r="238" spans="1:13" s="113" customFormat="1" hidden="1" x14ac:dyDescent="0.2">
      <c r="A238" s="112" t="s">
        <v>29</v>
      </c>
      <c r="B238" s="100" t="s">
        <v>8</v>
      </c>
      <c r="C238" s="100" t="s">
        <v>134</v>
      </c>
      <c r="D238" s="100" t="s">
        <v>203</v>
      </c>
      <c r="E238" s="101">
        <v>800</v>
      </c>
      <c r="F238" s="97">
        <f>F239</f>
        <v>0</v>
      </c>
      <c r="G238" s="97">
        <f>G239</f>
        <v>0</v>
      </c>
      <c r="H238" s="258" t="e">
        <f t="shared" si="71"/>
        <v>#DIV/0!</v>
      </c>
      <c r="I238" s="4"/>
      <c r="J238" s="4"/>
      <c r="K238" s="4"/>
      <c r="L238" s="5"/>
      <c r="M238" s="5"/>
    </row>
    <row r="239" spans="1:13" s="113" customFormat="1" hidden="1" x14ac:dyDescent="0.2">
      <c r="A239" s="99" t="s">
        <v>50</v>
      </c>
      <c r="B239" s="100" t="s">
        <v>8</v>
      </c>
      <c r="C239" s="100" t="s">
        <v>134</v>
      </c>
      <c r="D239" s="100" t="s">
        <v>203</v>
      </c>
      <c r="E239" s="101">
        <v>870</v>
      </c>
      <c r="F239" s="97">
        <f>150-150</f>
        <v>0</v>
      </c>
      <c r="G239" s="97">
        <f>150-150</f>
        <v>0</v>
      </c>
      <c r="H239" s="258" t="e">
        <f t="shared" si="71"/>
        <v>#DIV/0!</v>
      </c>
      <c r="I239" s="4"/>
      <c r="J239" s="4"/>
      <c r="K239" s="4"/>
      <c r="L239" s="5"/>
      <c r="M239" s="5"/>
    </row>
    <row r="240" spans="1:13" s="28" customFormat="1" ht="31.5" hidden="1" x14ac:dyDescent="0.2">
      <c r="A240" s="105" t="s">
        <v>204</v>
      </c>
      <c r="B240" s="40" t="s">
        <v>8</v>
      </c>
      <c r="C240" s="40" t="s">
        <v>134</v>
      </c>
      <c r="D240" s="40" t="s">
        <v>205</v>
      </c>
      <c r="E240" s="32"/>
      <c r="F240" s="42">
        <f>F241+F243</f>
        <v>0</v>
      </c>
      <c r="G240" s="42">
        <f>G241+G243</f>
        <v>0</v>
      </c>
      <c r="H240" s="258" t="e">
        <f t="shared" si="71"/>
        <v>#DIV/0!</v>
      </c>
      <c r="I240" s="4"/>
      <c r="J240" s="4"/>
      <c r="K240" s="4"/>
      <c r="L240" s="5"/>
      <c r="M240" s="5"/>
    </row>
    <row r="241" spans="1:13" s="28" customFormat="1" ht="31.5" hidden="1" x14ac:dyDescent="0.2">
      <c r="A241" s="43" t="s">
        <v>25</v>
      </c>
      <c r="B241" s="31" t="s">
        <v>8</v>
      </c>
      <c r="C241" s="31" t="s">
        <v>134</v>
      </c>
      <c r="D241" s="31" t="s">
        <v>205</v>
      </c>
      <c r="E241" s="32">
        <v>200</v>
      </c>
      <c r="F241" s="29">
        <f>F242</f>
        <v>0</v>
      </c>
      <c r="G241" s="29">
        <f>G242</f>
        <v>0</v>
      </c>
      <c r="H241" s="258" t="e">
        <f t="shared" si="71"/>
        <v>#DIV/0!</v>
      </c>
      <c r="I241" s="4"/>
      <c r="J241" s="4"/>
      <c r="K241" s="4"/>
      <c r="L241" s="5"/>
      <c r="M241" s="5"/>
    </row>
    <row r="242" spans="1:13" s="28" customFormat="1" ht="31.5" hidden="1" x14ac:dyDescent="0.2">
      <c r="A242" s="43" t="s">
        <v>26</v>
      </c>
      <c r="B242" s="31" t="s">
        <v>8</v>
      </c>
      <c r="C242" s="31" t="s">
        <v>134</v>
      </c>
      <c r="D242" s="31" t="s">
        <v>205</v>
      </c>
      <c r="E242" s="32">
        <v>240</v>
      </c>
      <c r="F242" s="29"/>
      <c r="G242" s="29"/>
      <c r="H242" s="258" t="e">
        <f t="shared" si="71"/>
        <v>#DIV/0!</v>
      </c>
      <c r="I242" s="4"/>
      <c r="J242" s="4"/>
      <c r="K242" s="4"/>
      <c r="L242" s="5"/>
      <c r="M242" s="5"/>
    </row>
    <row r="243" spans="1:13" s="98" customFormat="1" hidden="1" x14ac:dyDescent="0.2">
      <c r="A243" s="30" t="s">
        <v>29</v>
      </c>
      <c r="B243" s="31" t="s">
        <v>8</v>
      </c>
      <c r="C243" s="31" t="s">
        <v>134</v>
      </c>
      <c r="D243" s="31" t="s">
        <v>205</v>
      </c>
      <c r="E243" s="32">
        <v>800</v>
      </c>
      <c r="F243" s="29">
        <f>F244</f>
        <v>0</v>
      </c>
      <c r="G243" s="29">
        <f>G244</f>
        <v>0</v>
      </c>
      <c r="H243" s="258" t="e">
        <f t="shared" si="71"/>
        <v>#DIV/0!</v>
      </c>
      <c r="I243" s="4"/>
      <c r="J243" s="4"/>
      <c r="K243" s="4"/>
      <c r="L243" s="5"/>
      <c r="M243" s="5"/>
    </row>
    <row r="244" spans="1:13" s="98" customFormat="1" hidden="1" x14ac:dyDescent="0.2">
      <c r="A244" s="38" t="s">
        <v>50</v>
      </c>
      <c r="B244" s="31" t="s">
        <v>8</v>
      </c>
      <c r="C244" s="31" t="s">
        <v>134</v>
      </c>
      <c r="D244" s="31" t="s">
        <v>205</v>
      </c>
      <c r="E244" s="32">
        <v>870</v>
      </c>
      <c r="F244" s="29">
        <f>100-100</f>
        <v>0</v>
      </c>
      <c r="G244" s="29">
        <f>100-100</f>
        <v>0</v>
      </c>
      <c r="H244" s="258" t="e">
        <f t="shared" si="71"/>
        <v>#DIV/0!</v>
      </c>
      <c r="I244" s="4"/>
      <c r="J244" s="4"/>
      <c r="K244" s="4"/>
      <c r="L244" s="5"/>
      <c r="M244" s="5"/>
    </row>
    <row r="245" spans="1:13" s="28" customFormat="1" ht="31.5" x14ac:dyDescent="0.2">
      <c r="A245" s="105" t="s">
        <v>206</v>
      </c>
      <c r="B245" s="40" t="s">
        <v>8</v>
      </c>
      <c r="C245" s="40" t="s">
        <v>134</v>
      </c>
      <c r="D245" s="40" t="s">
        <v>207</v>
      </c>
      <c r="E245" s="32"/>
      <c r="F245" s="42">
        <f>F248+F250</f>
        <v>300</v>
      </c>
      <c r="G245" s="42">
        <f>G248+G250</f>
        <v>45</v>
      </c>
      <c r="H245" s="258">
        <f t="shared" si="71"/>
        <v>0.15</v>
      </c>
      <c r="I245" s="4"/>
      <c r="J245" s="4"/>
      <c r="K245" s="4"/>
      <c r="L245" s="5"/>
      <c r="M245" s="5"/>
    </row>
    <row r="246" spans="1:13" s="28" customFormat="1" ht="31.5" hidden="1" x14ac:dyDescent="0.2">
      <c r="A246" s="43" t="s">
        <v>25</v>
      </c>
      <c r="B246" s="31" t="s">
        <v>8</v>
      </c>
      <c r="C246" s="31" t="s">
        <v>134</v>
      </c>
      <c r="D246" s="31" t="s">
        <v>207</v>
      </c>
      <c r="E246" s="32">
        <v>200</v>
      </c>
      <c r="F246" s="29">
        <f>F247</f>
        <v>0</v>
      </c>
      <c r="G246" s="29">
        <f>G247</f>
        <v>0</v>
      </c>
      <c r="H246" s="258" t="e">
        <f t="shared" si="71"/>
        <v>#DIV/0!</v>
      </c>
      <c r="I246" s="4"/>
      <c r="J246" s="4"/>
      <c r="K246" s="4"/>
      <c r="L246" s="5"/>
      <c r="M246" s="5"/>
    </row>
    <row r="247" spans="1:13" s="28" customFormat="1" ht="31.5" hidden="1" x14ac:dyDescent="0.2">
      <c r="A247" s="43" t="s">
        <v>26</v>
      </c>
      <c r="B247" s="31" t="s">
        <v>8</v>
      </c>
      <c r="C247" s="31" t="s">
        <v>134</v>
      </c>
      <c r="D247" s="31" t="s">
        <v>207</v>
      </c>
      <c r="E247" s="32">
        <v>240</v>
      </c>
      <c r="F247" s="29"/>
      <c r="G247" s="29"/>
      <c r="H247" s="258" t="e">
        <f t="shared" si="71"/>
        <v>#DIV/0!</v>
      </c>
      <c r="I247" s="4"/>
      <c r="J247" s="4"/>
      <c r="K247" s="4"/>
      <c r="L247" s="5"/>
      <c r="M247" s="5"/>
    </row>
    <row r="248" spans="1:13" s="28" customFormat="1" x14ac:dyDescent="0.2">
      <c r="A248" s="30" t="s">
        <v>27</v>
      </c>
      <c r="B248" s="31" t="s">
        <v>8</v>
      </c>
      <c r="C248" s="31" t="s">
        <v>134</v>
      </c>
      <c r="D248" s="31" t="s">
        <v>207</v>
      </c>
      <c r="E248" s="32">
        <v>300</v>
      </c>
      <c r="F248" s="29">
        <f>F249</f>
        <v>300</v>
      </c>
      <c r="G248" s="29">
        <f>G249</f>
        <v>45</v>
      </c>
      <c r="H248" s="258">
        <f t="shared" si="71"/>
        <v>0.15</v>
      </c>
      <c r="I248" s="4"/>
      <c r="J248" s="4"/>
      <c r="K248" s="4"/>
      <c r="L248" s="5"/>
      <c r="M248" s="5"/>
    </row>
    <row r="249" spans="1:13" s="28" customFormat="1" x14ac:dyDescent="0.2">
      <c r="A249" s="30" t="s">
        <v>156</v>
      </c>
      <c r="B249" s="31" t="s">
        <v>8</v>
      </c>
      <c r="C249" s="31" t="s">
        <v>134</v>
      </c>
      <c r="D249" s="31" t="s">
        <v>207</v>
      </c>
      <c r="E249" s="32">
        <v>360</v>
      </c>
      <c r="F249" s="29">
        <f>420-120</f>
        <v>300</v>
      </c>
      <c r="G249" s="29">
        <v>45</v>
      </c>
      <c r="H249" s="258">
        <f t="shared" si="71"/>
        <v>0.15</v>
      </c>
      <c r="I249" s="4"/>
      <c r="J249" s="4"/>
      <c r="K249" s="4"/>
      <c r="L249" s="5"/>
      <c r="M249" s="5"/>
    </row>
    <row r="250" spans="1:13" s="98" customFormat="1" ht="31.5" hidden="1" x14ac:dyDescent="0.2">
      <c r="A250" s="43" t="s">
        <v>150</v>
      </c>
      <c r="B250" s="31" t="s">
        <v>8</v>
      </c>
      <c r="C250" s="31" t="s">
        <v>134</v>
      </c>
      <c r="D250" s="31" t="s">
        <v>207</v>
      </c>
      <c r="E250" s="32">
        <v>600</v>
      </c>
      <c r="F250" s="29">
        <f>F251</f>
        <v>0</v>
      </c>
      <c r="G250" s="29">
        <f>G251</f>
        <v>0</v>
      </c>
      <c r="H250" s="258" t="e">
        <f t="shared" si="71"/>
        <v>#DIV/0!</v>
      </c>
      <c r="I250" s="4"/>
      <c r="J250" s="4"/>
      <c r="K250" s="4"/>
      <c r="L250" s="5"/>
      <c r="M250" s="5"/>
    </row>
    <row r="251" spans="1:13" s="98" customFormat="1" hidden="1" x14ac:dyDescent="0.2">
      <c r="A251" s="43" t="s">
        <v>192</v>
      </c>
      <c r="B251" s="31" t="s">
        <v>8</v>
      </c>
      <c r="C251" s="31" t="s">
        <v>134</v>
      </c>
      <c r="D251" s="31" t="s">
        <v>207</v>
      </c>
      <c r="E251" s="32">
        <v>620</v>
      </c>
      <c r="F251" s="51">
        <f>25-25</f>
        <v>0</v>
      </c>
      <c r="G251" s="51">
        <f>25-25</f>
        <v>0</v>
      </c>
      <c r="H251" s="258" t="e">
        <f t="shared" si="71"/>
        <v>#DIV/0!</v>
      </c>
      <c r="I251" s="4"/>
      <c r="J251" s="4"/>
      <c r="K251" s="4"/>
      <c r="L251" s="5"/>
      <c r="M251" s="5"/>
    </row>
    <row r="252" spans="1:13" s="113" customFormat="1" ht="47.25" x14ac:dyDescent="0.2">
      <c r="A252" s="115" t="s">
        <v>208</v>
      </c>
      <c r="B252" s="108" t="s">
        <v>8</v>
      </c>
      <c r="C252" s="108" t="s">
        <v>134</v>
      </c>
      <c r="D252" s="108" t="s">
        <v>209</v>
      </c>
      <c r="E252" s="109"/>
      <c r="F252" s="110">
        <f>F253</f>
        <v>5</v>
      </c>
      <c r="G252" s="110">
        <f>G253</f>
        <v>0</v>
      </c>
      <c r="H252" s="258">
        <f t="shared" si="71"/>
        <v>0</v>
      </c>
      <c r="I252" s="4"/>
      <c r="J252" s="4"/>
      <c r="K252" s="4"/>
      <c r="L252" s="5"/>
      <c r="M252" s="5"/>
    </row>
    <row r="253" spans="1:13" s="113" customFormat="1" ht="31.5" x14ac:dyDescent="0.2">
      <c r="A253" s="43" t="s">
        <v>25</v>
      </c>
      <c r="B253" s="100" t="s">
        <v>8</v>
      </c>
      <c r="C253" s="100" t="s">
        <v>134</v>
      </c>
      <c r="D253" s="100" t="s">
        <v>209</v>
      </c>
      <c r="E253" s="101">
        <v>200</v>
      </c>
      <c r="F253" s="110">
        <f>F254</f>
        <v>5</v>
      </c>
      <c r="G253" s="110">
        <f>G254</f>
        <v>0</v>
      </c>
      <c r="H253" s="258">
        <f t="shared" si="71"/>
        <v>0</v>
      </c>
      <c r="I253" s="4"/>
      <c r="J253" s="4"/>
      <c r="K253" s="4"/>
      <c r="L253" s="5"/>
      <c r="M253" s="5"/>
    </row>
    <row r="254" spans="1:13" s="113" customFormat="1" ht="31.5" x14ac:dyDescent="0.2">
      <c r="A254" s="43" t="s">
        <v>26</v>
      </c>
      <c r="B254" s="100" t="s">
        <v>8</v>
      </c>
      <c r="C254" s="100" t="s">
        <v>134</v>
      </c>
      <c r="D254" s="100" t="s">
        <v>209</v>
      </c>
      <c r="E254" s="101">
        <v>240</v>
      </c>
      <c r="F254" s="110">
        <v>5</v>
      </c>
      <c r="G254" s="110">
        <v>0</v>
      </c>
      <c r="H254" s="258">
        <f t="shared" si="71"/>
        <v>0</v>
      </c>
      <c r="I254" s="4"/>
      <c r="J254" s="4"/>
      <c r="K254" s="4"/>
      <c r="L254" s="5"/>
      <c r="M254" s="5"/>
    </row>
    <row r="255" spans="1:13" s="113" customFormat="1" hidden="1" x14ac:dyDescent="0.2">
      <c r="A255" s="112" t="s">
        <v>29</v>
      </c>
      <c r="B255" s="100" t="s">
        <v>8</v>
      </c>
      <c r="C255" s="100" t="s">
        <v>134</v>
      </c>
      <c r="D255" s="100" t="s">
        <v>209</v>
      </c>
      <c r="E255" s="101">
        <v>800</v>
      </c>
      <c r="F255" s="97">
        <f>F256</f>
        <v>0</v>
      </c>
      <c r="G255" s="97">
        <f>G256</f>
        <v>0</v>
      </c>
      <c r="H255" s="258" t="e">
        <f t="shared" si="71"/>
        <v>#DIV/0!</v>
      </c>
      <c r="I255" s="4"/>
      <c r="J255" s="4"/>
      <c r="K255" s="4"/>
      <c r="L255" s="5"/>
      <c r="M255" s="5"/>
    </row>
    <row r="256" spans="1:13" s="113" customFormat="1" hidden="1" x14ac:dyDescent="0.2">
      <c r="A256" s="99" t="s">
        <v>50</v>
      </c>
      <c r="B256" s="100" t="s">
        <v>8</v>
      </c>
      <c r="C256" s="100" t="s">
        <v>134</v>
      </c>
      <c r="D256" s="100" t="s">
        <v>209</v>
      </c>
      <c r="E256" s="101">
        <v>870</v>
      </c>
      <c r="F256" s="97">
        <f>540-540</f>
        <v>0</v>
      </c>
      <c r="G256" s="97">
        <f>540-540</f>
        <v>0</v>
      </c>
      <c r="H256" s="258" t="e">
        <f t="shared" si="71"/>
        <v>#DIV/0!</v>
      </c>
      <c r="I256" s="4"/>
      <c r="J256" s="4"/>
      <c r="K256" s="4"/>
      <c r="L256" s="5"/>
      <c r="M256" s="5"/>
    </row>
    <row r="257" spans="1:13" s="113" customFormat="1" ht="47.25" x14ac:dyDescent="0.2">
      <c r="A257" s="115" t="s">
        <v>210</v>
      </c>
      <c r="B257" s="108" t="s">
        <v>8</v>
      </c>
      <c r="C257" s="108" t="s">
        <v>134</v>
      </c>
      <c r="D257" s="108" t="s">
        <v>211</v>
      </c>
      <c r="E257" s="109"/>
      <c r="F257" s="110">
        <f>F258</f>
        <v>10</v>
      </c>
      <c r="G257" s="110">
        <f>G258</f>
        <v>0</v>
      </c>
      <c r="H257" s="258">
        <f t="shared" si="71"/>
        <v>0</v>
      </c>
      <c r="I257" s="4"/>
      <c r="J257" s="4"/>
      <c r="K257" s="4"/>
      <c r="L257" s="5"/>
      <c r="M257" s="5"/>
    </row>
    <row r="258" spans="1:13" s="113" customFormat="1" ht="31.5" x14ac:dyDescent="0.2">
      <c r="A258" s="43" t="s">
        <v>25</v>
      </c>
      <c r="B258" s="100" t="s">
        <v>8</v>
      </c>
      <c r="C258" s="100" t="s">
        <v>134</v>
      </c>
      <c r="D258" s="100" t="s">
        <v>211</v>
      </c>
      <c r="E258" s="109">
        <v>200</v>
      </c>
      <c r="F258" s="110">
        <f>F259</f>
        <v>10</v>
      </c>
      <c r="G258" s="110">
        <f>G259</f>
        <v>0</v>
      </c>
      <c r="H258" s="258">
        <f t="shared" si="71"/>
        <v>0</v>
      </c>
      <c r="I258" s="4"/>
      <c r="J258" s="4"/>
      <c r="K258" s="4"/>
      <c r="L258" s="5"/>
      <c r="M258" s="5"/>
    </row>
    <row r="259" spans="1:13" s="113" customFormat="1" ht="31.5" x14ac:dyDescent="0.2">
      <c r="A259" s="43" t="s">
        <v>26</v>
      </c>
      <c r="B259" s="100" t="s">
        <v>8</v>
      </c>
      <c r="C259" s="100" t="s">
        <v>134</v>
      </c>
      <c r="D259" s="100" t="s">
        <v>211</v>
      </c>
      <c r="E259" s="109">
        <v>240</v>
      </c>
      <c r="F259" s="110">
        <v>10</v>
      </c>
      <c r="G259" s="110">
        <v>0</v>
      </c>
      <c r="H259" s="258">
        <f t="shared" si="71"/>
        <v>0</v>
      </c>
      <c r="I259" s="4"/>
      <c r="J259" s="4"/>
      <c r="K259" s="4"/>
      <c r="L259" s="5"/>
      <c r="M259" s="5"/>
    </row>
    <row r="260" spans="1:13" s="113" customFormat="1" hidden="1" x14ac:dyDescent="0.2">
      <c r="A260" s="112" t="s">
        <v>29</v>
      </c>
      <c r="B260" s="100" t="s">
        <v>8</v>
      </c>
      <c r="C260" s="100" t="s">
        <v>134</v>
      </c>
      <c r="D260" s="100" t="s">
        <v>211</v>
      </c>
      <c r="E260" s="101">
        <v>800</v>
      </c>
      <c r="F260" s="97">
        <f>F261</f>
        <v>0</v>
      </c>
      <c r="G260" s="97">
        <f>G261</f>
        <v>0</v>
      </c>
      <c r="H260" s="258" t="e">
        <f t="shared" si="71"/>
        <v>#DIV/0!</v>
      </c>
      <c r="I260" s="4"/>
      <c r="J260" s="4"/>
      <c r="K260" s="4"/>
      <c r="L260" s="5"/>
      <c r="M260" s="5"/>
    </row>
    <row r="261" spans="1:13" s="113" customFormat="1" hidden="1" x14ac:dyDescent="0.2">
      <c r="A261" s="99" t="s">
        <v>50</v>
      </c>
      <c r="B261" s="100" t="s">
        <v>8</v>
      </c>
      <c r="C261" s="100" t="s">
        <v>134</v>
      </c>
      <c r="D261" s="100" t="s">
        <v>211</v>
      </c>
      <c r="E261" s="101">
        <v>870</v>
      </c>
      <c r="F261" s="97">
        <f>196-196</f>
        <v>0</v>
      </c>
      <c r="G261" s="97">
        <f>196-196</f>
        <v>0</v>
      </c>
      <c r="H261" s="258" t="e">
        <f t="shared" si="71"/>
        <v>#DIV/0!</v>
      </c>
      <c r="I261" s="4"/>
      <c r="J261" s="4"/>
      <c r="K261" s="4"/>
      <c r="L261" s="5"/>
      <c r="M261" s="5"/>
    </row>
    <row r="262" spans="1:13" s="116" customFormat="1" ht="63" hidden="1" x14ac:dyDescent="0.2">
      <c r="A262" s="112" t="s">
        <v>212</v>
      </c>
      <c r="B262" s="100" t="s">
        <v>8</v>
      </c>
      <c r="C262" s="100" t="s">
        <v>134</v>
      </c>
      <c r="D262" s="100" t="s">
        <v>213</v>
      </c>
      <c r="E262" s="101"/>
      <c r="F262" s="97">
        <f>F263</f>
        <v>0</v>
      </c>
      <c r="G262" s="97">
        <f>G263</f>
        <v>0</v>
      </c>
      <c r="H262" s="258" t="e">
        <f t="shared" si="71"/>
        <v>#DIV/0!</v>
      </c>
      <c r="I262" s="4"/>
      <c r="J262" s="4"/>
      <c r="K262" s="4"/>
      <c r="L262" s="5"/>
      <c r="M262" s="5"/>
    </row>
    <row r="263" spans="1:13" s="116" customFormat="1" hidden="1" x14ac:dyDescent="0.2">
      <c r="A263" s="117" t="s">
        <v>29</v>
      </c>
      <c r="B263" s="100" t="s">
        <v>8</v>
      </c>
      <c r="C263" s="100" t="s">
        <v>134</v>
      </c>
      <c r="D263" s="100" t="s">
        <v>213</v>
      </c>
      <c r="E263" s="101">
        <v>800</v>
      </c>
      <c r="F263" s="97">
        <f>F264</f>
        <v>0</v>
      </c>
      <c r="G263" s="97">
        <f>G264</f>
        <v>0</v>
      </c>
      <c r="H263" s="258" t="e">
        <f t="shared" si="71"/>
        <v>#DIV/0!</v>
      </c>
      <c r="I263" s="4"/>
      <c r="J263" s="4"/>
      <c r="K263" s="4"/>
      <c r="L263" s="5"/>
      <c r="M263" s="5"/>
    </row>
    <row r="264" spans="1:13" s="116" customFormat="1" hidden="1" x14ac:dyDescent="0.2">
      <c r="A264" s="117" t="s">
        <v>50</v>
      </c>
      <c r="B264" s="100" t="s">
        <v>8</v>
      </c>
      <c r="C264" s="100" t="s">
        <v>134</v>
      </c>
      <c r="D264" s="100" t="s">
        <v>213</v>
      </c>
      <c r="E264" s="101">
        <v>870</v>
      </c>
      <c r="F264" s="97">
        <f>4.7-4.7</f>
        <v>0</v>
      </c>
      <c r="G264" s="97">
        <f>4.7-4.7</f>
        <v>0</v>
      </c>
      <c r="H264" s="258" t="e">
        <f t="shared" si="71"/>
        <v>#DIV/0!</v>
      </c>
      <c r="I264" s="4"/>
      <c r="J264" s="4"/>
      <c r="K264" s="4"/>
      <c r="L264" s="5"/>
      <c r="M264" s="5"/>
    </row>
    <row r="265" spans="1:13" s="102" customFormat="1" ht="63" x14ac:dyDescent="0.2">
      <c r="A265" s="118" t="s">
        <v>214</v>
      </c>
      <c r="B265" s="108" t="s">
        <v>8</v>
      </c>
      <c r="C265" s="108" t="s">
        <v>134</v>
      </c>
      <c r="D265" s="108" t="s">
        <v>215</v>
      </c>
      <c r="E265" s="109"/>
      <c r="F265" s="110">
        <f>F266</f>
        <v>5</v>
      </c>
      <c r="G265" s="110">
        <f>G266</f>
        <v>0</v>
      </c>
      <c r="H265" s="258">
        <f t="shared" si="71"/>
        <v>0</v>
      </c>
      <c r="I265" s="4"/>
      <c r="J265" s="4"/>
      <c r="K265" s="4"/>
      <c r="L265" s="5"/>
      <c r="M265" s="5"/>
    </row>
    <row r="266" spans="1:13" s="102" customFormat="1" ht="31.5" x14ac:dyDescent="0.2">
      <c r="A266" s="43" t="s">
        <v>25</v>
      </c>
      <c r="B266" s="119" t="s">
        <v>8</v>
      </c>
      <c r="C266" s="119" t="s">
        <v>134</v>
      </c>
      <c r="D266" s="119" t="s">
        <v>215</v>
      </c>
      <c r="E266" s="109">
        <v>200</v>
      </c>
      <c r="F266" s="111">
        <f>F267</f>
        <v>5</v>
      </c>
      <c r="G266" s="111">
        <f>G267</f>
        <v>0</v>
      </c>
      <c r="H266" s="258">
        <f t="shared" ref="H266:H329" si="72">G266/F266</f>
        <v>0</v>
      </c>
      <c r="I266" s="4"/>
      <c r="J266" s="4"/>
      <c r="K266" s="4"/>
      <c r="L266" s="5"/>
      <c r="M266" s="5"/>
    </row>
    <row r="267" spans="1:13" s="102" customFormat="1" ht="31.5" x14ac:dyDescent="0.2">
      <c r="A267" s="43" t="s">
        <v>26</v>
      </c>
      <c r="B267" s="119" t="s">
        <v>8</v>
      </c>
      <c r="C267" s="119" t="s">
        <v>134</v>
      </c>
      <c r="D267" s="119" t="s">
        <v>215</v>
      </c>
      <c r="E267" s="109">
        <v>240</v>
      </c>
      <c r="F267" s="111">
        <v>5</v>
      </c>
      <c r="G267" s="111">
        <v>0</v>
      </c>
      <c r="H267" s="258">
        <f t="shared" si="72"/>
        <v>0</v>
      </c>
      <c r="I267" s="4"/>
      <c r="J267" s="4"/>
      <c r="K267" s="4"/>
      <c r="L267" s="5"/>
      <c r="M267" s="5"/>
    </row>
    <row r="268" spans="1:13" s="116" customFormat="1" hidden="1" x14ac:dyDescent="0.2">
      <c r="A268" s="117" t="s">
        <v>29</v>
      </c>
      <c r="B268" s="100" t="s">
        <v>8</v>
      </c>
      <c r="C268" s="100" t="s">
        <v>134</v>
      </c>
      <c r="D268" s="100" t="s">
        <v>215</v>
      </c>
      <c r="E268" s="101">
        <v>800</v>
      </c>
      <c r="F268" s="97">
        <f>F269</f>
        <v>0</v>
      </c>
      <c r="G268" s="97">
        <f>G269</f>
        <v>0</v>
      </c>
      <c r="H268" s="258" t="e">
        <f t="shared" si="72"/>
        <v>#DIV/0!</v>
      </c>
      <c r="I268" s="4"/>
      <c r="J268" s="4"/>
      <c r="K268" s="4"/>
      <c r="L268" s="5"/>
      <c r="M268" s="5"/>
    </row>
    <row r="269" spans="1:13" s="116" customFormat="1" hidden="1" x14ac:dyDescent="0.2">
      <c r="A269" s="117" t="s">
        <v>50</v>
      </c>
      <c r="B269" s="100" t="s">
        <v>8</v>
      </c>
      <c r="C269" s="100" t="s">
        <v>134</v>
      </c>
      <c r="D269" s="100" t="s">
        <v>215</v>
      </c>
      <c r="E269" s="101">
        <v>870</v>
      </c>
      <c r="F269" s="97">
        <f>225-225</f>
        <v>0</v>
      </c>
      <c r="G269" s="97">
        <f>225-225</f>
        <v>0</v>
      </c>
      <c r="H269" s="258" t="e">
        <f t="shared" si="72"/>
        <v>#DIV/0!</v>
      </c>
      <c r="I269" s="4"/>
      <c r="J269" s="4"/>
      <c r="K269" s="4"/>
      <c r="L269" s="5"/>
      <c r="M269" s="5"/>
    </row>
    <row r="270" spans="1:13" s="28" customFormat="1" x14ac:dyDescent="0.2">
      <c r="A270" s="23" t="s">
        <v>216</v>
      </c>
      <c r="B270" s="15" t="s">
        <v>8</v>
      </c>
      <c r="C270" s="15" t="s">
        <v>217</v>
      </c>
      <c r="D270" s="15"/>
      <c r="E270" s="24"/>
      <c r="F270" s="25">
        <f>F271</f>
        <v>40</v>
      </c>
      <c r="G270" s="25">
        <f>G271</f>
        <v>5</v>
      </c>
      <c r="H270" s="258">
        <f t="shared" si="72"/>
        <v>0.125</v>
      </c>
      <c r="I270" s="4"/>
      <c r="J270" s="4"/>
      <c r="K270" s="4"/>
      <c r="L270" s="5"/>
      <c r="M270" s="5"/>
    </row>
    <row r="271" spans="1:13" s="5" customFormat="1" x14ac:dyDescent="0.2">
      <c r="A271" s="33" t="s">
        <v>218</v>
      </c>
      <c r="B271" s="34" t="s">
        <v>8</v>
      </c>
      <c r="C271" s="34" t="s">
        <v>219</v>
      </c>
      <c r="D271" s="34"/>
      <c r="E271" s="41"/>
      <c r="F271" s="35">
        <f>F272+F277</f>
        <v>40</v>
      </c>
      <c r="G271" s="35">
        <f>G272+G277</f>
        <v>5</v>
      </c>
      <c r="H271" s="258">
        <f t="shared" si="72"/>
        <v>0.125</v>
      </c>
      <c r="I271" s="4"/>
      <c r="J271" s="4"/>
      <c r="K271" s="4"/>
    </row>
    <row r="272" spans="1:13" s="5" customFormat="1" hidden="1" x14ac:dyDescent="0.2">
      <c r="A272" s="33" t="s">
        <v>67</v>
      </c>
      <c r="B272" s="34" t="s">
        <v>8</v>
      </c>
      <c r="C272" s="34" t="s">
        <v>219</v>
      </c>
      <c r="D272" s="34" t="s">
        <v>32</v>
      </c>
      <c r="E272" s="41" t="s">
        <v>4</v>
      </c>
      <c r="F272" s="35">
        <f t="shared" ref="F272:G275" si="73">F273</f>
        <v>0</v>
      </c>
      <c r="G272" s="35">
        <f t="shared" si="73"/>
        <v>0</v>
      </c>
      <c r="H272" s="258" t="e">
        <f t="shared" si="72"/>
        <v>#DIV/0!</v>
      </c>
      <c r="I272" s="4"/>
      <c r="J272" s="4"/>
      <c r="K272" s="4"/>
    </row>
    <row r="273" spans="1:13" s="5" customFormat="1" hidden="1" x14ac:dyDescent="0.2">
      <c r="A273" s="30" t="s">
        <v>33</v>
      </c>
      <c r="B273" s="31" t="s">
        <v>8</v>
      </c>
      <c r="C273" s="31" t="s">
        <v>219</v>
      </c>
      <c r="D273" s="31" t="s">
        <v>34</v>
      </c>
      <c r="E273" s="24"/>
      <c r="F273" s="25">
        <f t="shared" si="73"/>
        <v>0</v>
      </c>
      <c r="G273" s="25">
        <f t="shared" si="73"/>
        <v>0</v>
      </c>
      <c r="H273" s="258" t="e">
        <f t="shared" si="72"/>
        <v>#DIV/0!</v>
      </c>
      <c r="I273" s="4"/>
      <c r="J273" s="4"/>
      <c r="K273" s="4"/>
    </row>
    <row r="274" spans="1:13" s="5" customFormat="1" ht="31.5" hidden="1" x14ac:dyDescent="0.2">
      <c r="A274" s="81" t="s">
        <v>154</v>
      </c>
      <c r="B274" s="31" t="s">
        <v>8</v>
      </c>
      <c r="C274" s="31" t="s">
        <v>219</v>
      </c>
      <c r="D274" s="31" t="s">
        <v>35</v>
      </c>
      <c r="E274" s="31" t="s">
        <v>4</v>
      </c>
      <c r="F274" s="83">
        <f t="shared" si="73"/>
        <v>0</v>
      </c>
      <c r="G274" s="83">
        <f t="shared" si="73"/>
        <v>0</v>
      </c>
      <c r="H274" s="258" t="e">
        <f t="shared" si="72"/>
        <v>#DIV/0!</v>
      </c>
      <c r="I274" s="4"/>
      <c r="J274" s="4"/>
      <c r="K274" s="4"/>
    </row>
    <row r="275" spans="1:13" s="5" customFormat="1" ht="31.5" hidden="1" x14ac:dyDescent="0.2">
      <c r="A275" s="43" t="s">
        <v>25</v>
      </c>
      <c r="B275" s="31" t="s">
        <v>8</v>
      </c>
      <c r="C275" s="31" t="s">
        <v>219</v>
      </c>
      <c r="D275" s="31" t="s">
        <v>35</v>
      </c>
      <c r="E275" s="31" t="s">
        <v>36</v>
      </c>
      <c r="F275" s="83">
        <f t="shared" si="73"/>
        <v>0</v>
      </c>
      <c r="G275" s="83">
        <f t="shared" si="73"/>
        <v>0</v>
      </c>
      <c r="H275" s="258" t="e">
        <f t="shared" si="72"/>
        <v>#DIV/0!</v>
      </c>
      <c r="I275" s="4"/>
      <c r="J275" s="4"/>
      <c r="K275" s="4"/>
    </row>
    <row r="276" spans="1:13" s="5" customFormat="1" ht="31.5" hidden="1" x14ac:dyDescent="0.2">
      <c r="A276" s="43" t="s">
        <v>26</v>
      </c>
      <c r="B276" s="31" t="s">
        <v>8</v>
      </c>
      <c r="C276" s="31" t="s">
        <v>219</v>
      </c>
      <c r="D276" s="31" t="s">
        <v>35</v>
      </c>
      <c r="E276" s="31" t="s">
        <v>37</v>
      </c>
      <c r="F276" s="83"/>
      <c r="G276" s="83"/>
      <c r="H276" s="258" t="e">
        <f t="shared" si="72"/>
        <v>#DIV/0!</v>
      </c>
      <c r="I276" s="4"/>
      <c r="J276" s="4"/>
      <c r="K276" s="4"/>
    </row>
    <row r="277" spans="1:13" s="5" customFormat="1" ht="33.75" customHeight="1" x14ac:dyDescent="0.2">
      <c r="A277" s="23" t="s">
        <v>220</v>
      </c>
      <c r="B277" s="15" t="s">
        <v>8</v>
      </c>
      <c r="C277" s="15" t="s">
        <v>219</v>
      </c>
      <c r="D277" s="15" t="s">
        <v>221</v>
      </c>
      <c r="E277" s="24"/>
      <c r="F277" s="25">
        <f t="shared" ref="F277:G279" si="74">F278</f>
        <v>40</v>
      </c>
      <c r="G277" s="25">
        <f t="shared" si="74"/>
        <v>5</v>
      </c>
      <c r="H277" s="258">
        <f t="shared" si="72"/>
        <v>0.125</v>
      </c>
      <c r="I277" s="4"/>
      <c r="J277" s="4"/>
      <c r="K277" s="4"/>
    </row>
    <row r="278" spans="1:13" s="5" customFormat="1" ht="33.75" customHeight="1" x14ac:dyDescent="0.2">
      <c r="A278" s="30" t="s">
        <v>222</v>
      </c>
      <c r="B278" s="31" t="s">
        <v>8</v>
      </c>
      <c r="C278" s="31" t="s">
        <v>219</v>
      </c>
      <c r="D278" s="31" t="s">
        <v>223</v>
      </c>
      <c r="E278" s="32"/>
      <c r="F278" s="29">
        <f t="shared" si="74"/>
        <v>40</v>
      </c>
      <c r="G278" s="29">
        <f t="shared" si="74"/>
        <v>5</v>
      </c>
      <c r="H278" s="258">
        <f t="shared" si="72"/>
        <v>0.125</v>
      </c>
      <c r="I278" s="4"/>
      <c r="J278" s="4"/>
      <c r="K278" s="4"/>
    </row>
    <row r="279" spans="1:13" s="45" customFormat="1" ht="31.5" x14ac:dyDescent="0.2">
      <c r="A279" s="43" t="s">
        <v>25</v>
      </c>
      <c r="B279" s="31" t="s">
        <v>8</v>
      </c>
      <c r="C279" s="31" t="s">
        <v>219</v>
      </c>
      <c r="D279" s="31" t="s">
        <v>223</v>
      </c>
      <c r="E279" s="32">
        <v>200</v>
      </c>
      <c r="F279" s="29">
        <f t="shared" si="74"/>
        <v>40</v>
      </c>
      <c r="G279" s="29">
        <f t="shared" si="74"/>
        <v>5</v>
      </c>
      <c r="H279" s="258">
        <f t="shared" si="72"/>
        <v>0.125</v>
      </c>
      <c r="I279" s="4"/>
      <c r="J279" s="4"/>
      <c r="K279" s="4"/>
      <c r="L279" s="5"/>
      <c r="M279" s="5"/>
    </row>
    <row r="280" spans="1:13" s="5" customFormat="1" ht="33.75" customHeight="1" x14ac:dyDescent="0.2">
      <c r="A280" s="43" t="s">
        <v>26</v>
      </c>
      <c r="B280" s="31" t="s">
        <v>8</v>
      </c>
      <c r="C280" s="31" t="s">
        <v>219</v>
      </c>
      <c r="D280" s="31" t="s">
        <v>223</v>
      </c>
      <c r="E280" s="32">
        <v>240</v>
      </c>
      <c r="F280" s="29">
        <v>40</v>
      </c>
      <c r="G280" s="29">
        <v>5</v>
      </c>
      <c r="H280" s="258">
        <f t="shared" si="72"/>
        <v>0.125</v>
      </c>
      <c r="I280" s="4"/>
      <c r="J280" s="4"/>
      <c r="K280" s="4"/>
    </row>
    <row r="281" spans="1:13" s="45" customFormat="1" ht="33.75" customHeight="1" x14ac:dyDescent="0.2">
      <c r="A281" s="14" t="s">
        <v>224</v>
      </c>
      <c r="B281" s="15" t="s">
        <v>8</v>
      </c>
      <c r="C281" s="15" t="s">
        <v>225</v>
      </c>
      <c r="D281" s="15"/>
      <c r="E281" s="24"/>
      <c r="F281" s="25">
        <f t="shared" ref="F281:G283" si="75">F282</f>
        <v>41.3</v>
      </c>
      <c r="G281" s="25">
        <f t="shared" si="75"/>
        <v>41.3</v>
      </c>
      <c r="H281" s="258">
        <f t="shared" si="72"/>
        <v>1</v>
      </c>
      <c r="I281" s="4"/>
      <c r="J281" s="4"/>
      <c r="K281" s="4"/>
      <c r="L281" s="5"/>
      <c r="M281" s="5"/>
    </row>
    <row r="282" spans="1:13" s="45" customFormat="1" ht="47.25" x14ac:dyDescent="0.2">
      <c r="A282" s="74" t="s">
        <v>226</v>
      </c>
      <c r="B282" s="34" t="s">
        <v>8</v>
      </c>
      <c r="C282" s="34" t="s">
        <v>227</v>
      </c>
      <c r="D282" s="34"/>
      <c r="E282" s="41"/>
      <c r="F282" s="35">
        <f t="shared" si="75"/>
        <v>41.3</v>
      </c>
      <c r="G282" s="35">
        <f t="shared" si="75"/>
        <v>41.3</v>
      </c>
      <c r="H282" s="258">
        <f t="shared" si="72"/>
        <v>1</v>
      </c>
      <c r="I282" s="4"/>
      <c r="J282" s="4"/>
      <c r="K282" s="4"/>
      <c r="L282" s="5"/>
      <c r="M282" s="5"/>
    </row>
    <row r="283" spans="1:13" s="45" customFormat="1" ht="47.25" x14ac:dyDescent="0.2">
      <c r="A283" s="74" t="s">
        <v>228</v>
      </c>
      <c r="B283" s="31" t="s">
        <v>8</v>
      </c>
      <c r="C283" s="31" t="s">
        <v>227</v>
      </c>
      <c r="D283" s="31" t="s">
        <v>229</v>
      </c>
      <c r="E283" s="41"/>
      <c r="F283" s="35">
        <f t="shared" si="75"/>
        <v>41.3</v>
      </c>
      <c r="G283" s="35">
        <f t="shared" si="75"/>
        <v>41.3</v>
      </c>
      <c r="H283" s="258">
        <f t="shared" si="72"/>
        <v>1</v>
      </c>
      <c r="I283" s="4"/>
      <c r="J283" s="4"/>
      <c r="K283" s="4"/>
      <c r="L283" s="5"/>
      <c r="M283" s="5"/>
    </row>
    <row r="284" spans="1:13" s="45" customFormat="1" ht="31.5" customHeight="1" x14ac:dyDescent="0.2">
      <c r="A284" s="30" t="s">
        <v>230</v>
      </c>
      <c r="B284" s="31" t="s">
        <v>8</v>
      </c>
      <c r="C284" s="31" t="s">
        <v>227</v>
      </c>
      <c r="D284" s="31" t="s">
        <v>231</v>
      </c>
      <c r="E284" s="41"/>
      <c r="F284" s="29">
        <f>F285+F287</f>
        <v>41.3</v>
      </c>
      <c r="G284" s="29">
        <f>G285+G287</f>
        <v>41.3</v>
      </c>
      <c r="H284" s="258">
        <f t="shared" si="72"/>
        <v>1</v>
      </c>
      <c r="I284" s="4"/>
      <c r="J284" s="4"/>
      <c r="K284" s="4"/>
      <c r="L284" s="5"/>
      <c r="M284" s="5"/>
    </row>
    <row r="285" spans="1:13" s="28" customFormat="1" ht="31.5" customHeight="1" x14ac:dyDescent="0.2">
      <c r="A285" s="43" t="s">
        <v>25</v>
      </c>
      <c r="B285" s="31" t="s">
        <v>8</v>
      </c>
      <c r="C285" s="31" t="s">
        <v>227</v>
      </c>
      <c r="D285" s="31" t="s">
        <v>231</v>
      </c>
      <c r="E285" s="32">
        <v>200</v>
      </c>
      <c r="F285" s="104">
        <f>F286</f>
        <v>41.3</v>
      </c>
      <c r="G285" s="104">
        <f>G286</f>
        <v>41.3</v>
      </c>
      <c r="H285" s="258">
        <f t="shared" si="72"/>
        <v>1</v>
      </c>
      <c r="I285" s="4"/>
      <c r="J285" s="4"/>
      <c r="K285" s="4"/>
      <c r="L285" s="5"/>
      <c r="M285" s="5"/>
    </row>
    <row r="286" spans="1:13" s="45" customFormat="1" ht="31.5" x14ac:dyDescent="0.2">
      <c r="A286" s="43" t="s">
        <v>26</v>
      </c>
      <c r="B286" s="31" t="s">
        <v>8</v>
      </c>
      <c r="C286" s="31" t="s">
        <v>227</v>
      </c>
      <c r="D286" s="31" t="s">
        <v>231</v>
      </c>
      <c r="E286" s="32">
        <v>240</v>
      </c>
      <c r="F286" s="29">
        <v>41.3</v>
      </c>
      <c r="G286" s="29">
        <v>41.3</v>
      </c>
      <c r="H286" s="258">
        <f t="shared" si="72"/>
        <v>1</v>
      </c>
      <c r="I286" s="4"/>
      <c r="J286" s="4"/>
      <c r="K286" s="4"/>
      <c r="L286" s="5"/>
      <c r="M286" s="5"/>
    </row>
    <row r="287" spans="1:13" s="45" customFormat="1" hidden="1" x14ac:dyDescent="0.2">
      <c r="A287" s="43" t="s">
        <v>29</v>
      </c>
      <c r="B287" s="31" t="s">
        <v>8</v>
      </c>
      <c r="C287" s="31" t="s">
        <v>227</v>
      </c>
      <c r="D287" s="31" t="s">
        <v>232</v>
      </c>
      <c r="E287" s="32">
        <v>800</v>
      </c>
      <c r="F287" s="29">
        <f>F288</f>
        <v>0</v>
      </c>
      <c r="G287" s="29">
        <f>G288</f>
        <v>0</v>
      </c>
      <c r="H287" s="258" t="e">
        <f t="shared" si="72"/>
        <v>#DIV/0!</v>
      </c>
      <c r="I287" s="4"/>
      <c r="J287" s="4"/>
      <c r="K287" s="4"/>
      <c r="L287" s="5"/>
      <c r="M287" s="5"/>
    </row>
    <row r="288" spans="1:13" s="45" customFormat="1" ht="47.25" hidden="1" x14ac:dyDescent="0.2">
      <c r="A288" s="43" t="s">
        <v>233</v>
      </c>
      <c r="B288" s="31" t="s">
        <v>8</v>
      </c>
      <c r="C288" s="31" t="s">
        <v>227</v>
      </c>
      <c r="D288" s="31" t="s">
        <v>232</v>
      </c>
      <c r="E288" s="32">
        <v>810</v>
      </c>
      <c r="F288" s="29"/>
      <c r="G288" s="29"/>
      <c r="H288" s="258" t="e">
        <f t="shared" si="72"/>
        <v>#DIV/0!</v>
      </c>
      <c r="I288" s="4"/>
      <c r="J288" s="4"/>
      <c r="K288" s="4"/>
      <c r="L288" s="5"/>
      <c r="M288" s="5"/>
    </row>
    <row r="289" spans="1:13" s="45" customFormat="1" x14ac:dyDescent="0.2">
      <c r="A289" s="23" t="s">
        <v>234</v>
      </c>
      <c r="B289" s="15" t="s">
        <v>8</v>
      </c>
      <c r="C289" s="15" t="s">
        <v>235</v>
      </c>
      <c r="D289" s="15"/>
      <c r="E289" s="24"/>
      <c r="F289" s="25">
        <f>F290+F299+F346+F358+F389</f>
        <v>29040.6</v>
      </c>
      <c r="G289" s="25">
        <f>G290+G299+G346+G358+G389</f>
        <v>21197.600000000002</v>
      </c>
      <c r="H289" s="258">
        <f t="shared" si="72"/>
        <v>0.72992982238658988</v>
      </c>
      <c r="I289" s="4"/>
      <c r="J289" s="4"/>
      <c r="K289" s="4"/>
      <c r="L289" s="5"/>
      <c r="M289" s="5"/>
    </row>
    <row r="290" spans="1:13" s="28" customFormat="1" x14ac:dyDescent="0.2">
      <c r="A290" s="33" t="s">
        <v>236</v>
      </c>
      <c r="B290" s="34" t="s">
        <v>8</v>
      </c>
      <c r="C290" s="34" t="s">
        <v>237</v>
      </c>
      <c r="D290" s="34"/>
      <c r="E290" s="41"/>
      <c r="F290" s="35">
        <f t="shared" ref="F290:G293" si="76">F291</f>
        <v>104.2</v>
      </c>
      <c r="G290" s="35">
        <f t="shared" si="76"/>
        <v>44.599999999999994</v>
      </c>
      <c r="H290" s="258">
        <f t="shared" si="72"/>
        <v>0.42802303262955849</v>
      </c>
      <c r="I290" s="4"/>
      <c r="J290" s="4"/>
      <c r="K290" s="4"/>
      <c r="L290" s="5"/>
      <c r="M290" s="5"/>
    </row>
    <row r="291" spans="1:13" s="28" customFormat="1" ht="31.5" x14ac:dyDescent="0.2">
      <c r="A291" s="90" t="s">
        <v>238</v>
      </c>
      <c r="B291" s="15" t="s">
        <v>8</v>
      </c>
      <c r="C291" s="15" t="s">
        <v>237</v>
      </c>
      <c r="D291" s="15" t="s">
        <v>239</v>
      </c>
      <c r="E291" s="24"/>
      <c r="F291" s="48">
        <f t="shared" si="76"/>
        <v>104.2</v>
      </c>
      <c r="G291" s="48">
        <f t="shared" si="76"/>
        <v>44.599999999999994</v>
      </c>
      <c r="H291" s="258">
        <f t="shared" si="72"/>
        <v>0.42802303262955849</v>
      </c>
      <c r="I291" s="4"/>
      <c r="J291" s="4"/>
      <c r="K291" s="4"/>
      <c r="L291" s="5"/>
      <c r="M291" s="5"/>
    </row>
    <row r="292" spans="1:13" s="60" customFormat="1" ht="31.5" x14ac:dyDescent="0.2">
      <c r="A292" s="57" t="s">
        <v>240</v>
      </c>
      <c r="B292" s="58" t="s">
        <v>8</v>
      </c>
      <c r="C292" s="58" t="s">
        <v>237</v>
      </c>
      <c r="D292" s="58" t="s">
        <v>241</v>
      </c>
      <c r="E292" s="59"/>
      <c r="F292" s="49">
        <f t="shared" si="76"/>
        <v>104.2</v>
      </c>
      <c r="G292" s="49">
        <f t="shared" si="76"/>
        <v>44.599999999999994</v>
      </c>
      <c r="H292" s="258">
        <f t="shared" si="72"/>
        <v>0.42802303262955849</v>
      </c>
      <c r="I292" s="4"/>
      <c r="J292" s="4"/>
      <c r="K292" s="4"/>
      <c r="L292" s="5"/>
      <c r="M292" s="5"/>
    </row>
    <row r="293" spans="1:13" s="60" customFormat="1" ht="47.25" x14ac:dyDescent="0.2">
      <c r="A293" s="57" t="s">
        <v>242</v>
      </c>
      <c r="B293" s="58" t="s">
        <v>8</v>
      </c>
      <c r="C293" s="58" t="s">
        <v>237</v>
      </c>
      <c r="D293" s="58" t="s">
        <v>243</v>
      </c>
      <c r="E293" s="59"/>
      <c r="F293" s="49">
        <f t="shared" si="76"/>
        <v>104.2</v>
      </c>
      <c r="G293" s="49">
        <f t="shared" si="76"/>
        <v>44.599999999999994</v>
      </c>
      <c r="H293" s="258">
        <f t="shared" si="72"/>
        <v>0.42802303262955849</v>
      </c>
      <c r="I293" s="4"/>
      <c r="J293" s="4"/>
      <c r="K293" s="4"/>
      <c r="L293" s="5"/>
      <c r="M293" s="5"/>
    </row>
    <row r="294" spans="1:13" s="72" customFormat="1" ht="31.5" x14ac:dyDescent="0.2">
      <c r="A294" s="57" t="s">
        <v>244</v>
      </c>
      <c r="B294" s="58" t="s">
        <v>8</v>
      </c>
      <c r="C294" s="58" t="s">
        <v>237</v>
      </c>
      <c r="D294" s="58" t="s">
        <v>245</v>
      </c>
      <c r="E294" s="59"/>
      <c r="F294" s="49">
        <f>F295+F297</f>
        <v>104.2</v>
      </c>
      <c r="G294" s="49">
        <f>G295+G297</f>
        <v>44.599999999999994</v>
      </c>
      <c r="H294" s="258">
        <f t="shared" si="72"/>
        <v>0.42802303262955849</v>
      </c>
      <c r="I294" s="4"/>
      <c r="J294" s="4"/>
      <c r="K294" s="4"/>
      <c r="L294" s="5"/>
      <c r="M294" s="5"/>
    </row>
    <row r="295" spans="1:13" s="60" customFormat="1" ht="65.45" customHeight="1" x14ac:dyDescent="0.2">
      <c r="A295" s="57" t="s">
        <v>23</v>
      </c>
      <c r="B295" s="58" t="s">
        <v>8</v>
      </c>
      <c r="C295" s="58" t="s">
        <v>237</v>
      </c>
      <c r="D295" s="58" t="s">
        <v>245</v>
      </c>
      <c r="E295" s="59">
        <v>100</v>
      </c>
      <c r="F295" s="49">
        <f>F296</f>
        <v>103.10000000000001</v>
      </c>
      <c r="G295" s="49">
        <f>G296</f>
        <v>44.599999999999994</v>
      </c>
      <c r="H295" s="258">
        <f t="shared" si="72"/>
        <v>0.43258971871968954</v>
      </c>
      <c r="I295" s="4"/>
      <c r="J295" s="4"/>
      <c r="K295" s="4"/>
      <c r="L295" s="5"/>
      <c r="M295" s="5"/>
    </row>
    <row r="296" spans="1:13" s="56" customFormat="1" ht="31.5" x14ac:dyDescent="0.2">
      <c r="A296" s="57" t="s">
        <v>24</v>
      </c>
      <c r="B296" s="58" t="s">
        <v>8</v>
      </c>
      <c r="C296" s="58" t="s">
        <v>237</v>
      </c>
      <c r="D296" s="58" t="s">
        <v>245</v>
      </c>
      <c r="E296" s="58" t="s">
        <v>44</v>
      </c>
      <c r="F296" s="49">
        <f>98.9+4.2</f>
        <v>103.10000000000001</v>
      </c>
      <c r="G296" s="49">
        <f>34.4+10.2</f>
        <v>44.599999999999994</v>
      </c>
      <c r="H296" s="258">
        <f t="shared" si="72"/>
        <v>0.43258971871968954</v>
      </c>
      <c r="I296" s="4"/>
      <c r="J296" s="4"/>
      <c r="K296" s="4"/>
      <c r="L296" s="5"/>
      <c r="M296" s="5"/>
    </row>
    <row r="297" spans="1:13" s="56" customFormat="1" ht="31.5" x14ac:dyDescent="0.2">
      <c r="A297" s="57" t="s">
        <v>25</v>
      </c>
      <c r="B297" s="58" t="s">
        <v>8</v>
      </c>
      <c r="C297" s="58" t="s">
        <v>237</v>
      </c>
      <c r="D297" s="58" t="s">
        <v>245</v>
      </c>
      <c r="E297" s="58" t="s">
        <v>36</v>
      </c>
      <c r="F297" s="49">
        <f>F298</f>
        <v>1.1000000000000001</v>
      </c>
      <c r="G297" s="49">
        <f>G298</f>
        <v>0</v>
      </c>
      <c r="H297" s="258">
        <f t="shared" si="72"/>
        <v>0</v>
      </c>
      <c r="I297" s="4"/>
      <c r="J297" s="4"/>
      <c r="K297" s="4"/>
      <c r="L297" s="5"/>
      <c r="M297" s="5"/>
    </row>
    <row r="298" spans="1:13" s="56" customFormat="1" ht="31.5" x14ac:dyDescent="0.2">
      <c r="A298" s="57" t="s">
        <v>26</v>
      </c>
      <c r="B298" s="58" t="s">
        <v>8</v>
      </c>
      <c r="C298" s="58" t="s">
        <v>237</v>
      </c>
      <c r="D298" s="58" t="s">
        <v>245</v>
      </c>
      <c r="E298" s="59">
        <v>240</v>
      </c>
      <c r="F298" s="49">
        <f>1+0.1</f>
        <v>1.1000000000000001</v>
      </c>
      <c r="G298" s="49">
        <v>0</v>
      </c>
      <c r="H298" s="258">
        <f t="shared" si="72"/>
        <v>0</v>
      </c>
      <c r="I298" s="4"/>
      <c r="J298" s="4"/>
      <c r="K298" s="4"/>
      <c r="L298" s="5"/>
      <c r="M298" s="5"/>
    </row>
    <row r="299" spans="1:13" s="56" customFormat="1" x14ac:dyDescent="0.2">
      <c r="A299" s="120" t="s">
        <v>246</v>
      </c>
      <c r="B299" s="121" t="s">
        <v>8</v>
      </c>
      <c r="C299" s="121" t="s">
        <v>247</v>
      </c>
      <c r="D299" s="121"/>
      <c r="E299" s="122"/>
      <c r="F299" s="50">
        <f>F300+F335</f>
        <v>22671.599999999999</v>
      </c>
      <c r="G299" s="50">
        <f>G300+G335+0.1</f>
        <v>16905.400000000001</v>
      </c>
      <c r="H299" s="258">
        <f t="shared" si="72"/>
        <v>0.7456641789728119</v>
      </c>
      <c r="I299" s="4"/>
      <c r="J299" s="4"/>
      <c r="K299" s="4"/>
      <c r="L299" s="5"/>
      <c r="M299" s="5"/>
    </row>
    <row r="300" spans="1:13" s="56" customFormat="1" ht="47.25" x14ac:dyDescent="0.2">
      <c r="A300" s="70" t="s">
        <v>248</v>
      </c>
      <c r="B300" s="53" t="s">
        <v>8</v>
      </c>
      <c r="C300" s="53" t="s">
        <v>247</v>
      </c>
      <c r="D300" s="53" t="s">
        <v>249</v>
      </c>
      <c r="E300" s="54"/>
      <c r="F300" s="48">
        <f>F301</f>
        <v>22511.599999999999</v>
      </c>
      <c r="G300" s="48">
        <f>G301</f>
        <v>16834.400000000001</v>
      </c>
      <c r="H300" s="258">
        <f t="shared" si="72"/>
        <v>0.74781001794630331</v>
      </c>
      <c r="I300" s="4"/>
      <c r="J300" s="4"/>
      <c r="K300" s="4"/>
      <c r="L300" s="5"/>
      <c r="M300" s="5"/>
    </row>
    <row r="301" spans="1:13" s="56" customFormat="1" ht="31.5" x14ac:dyDescent="0.2">
      <c r="A301" s="57" t="s">
        <v>250</v>
      </c>
      <c r="B301" s="58" t="s">
        <v>8</v>
      </c>
      <c r="C301" s="58" t="s">
        <v>247</v>
      </c>
      <c r="D301" s="58" t="s">
        <v>251</v>
      </c>
      <c r="E301" s="59"/>
      <c r="F301" s="49">
        <f>F302+F321+F309+F328</f>
        <v>22511.599999999999</v>
      </c>
      <c r="G301" s="49">
        <f>G302+G321+G309+G328</f>
        <v>16834.400000000001</v>
      </c>
      <c r="H301" s="258">
        <f t="shared" si="72"/>
        <v>0.74781001794630331</v>
      </c>
      <c r="I301" s="4"/>
      <c r="J301" s="4"/>
      <c r="K301" s="4"/>
      <c r="L301" s="5"/>
      <c r="M301" s="5"/>
    </row>
    <row r="302" spans="1:13" s="56" customFormat="1" ht="47.25" x14ac:dyDescent="0.2">
      <c r="A302" s="57" t="s">
        <v>252</v>
      </c>
      <c r="B302" s="58" t="s">
        <v>8</v>
      </c>
      <c r="C302" s="58" t="s">
        <v>247</v>
      </c>
      <c r="D302" s="58" t="s">
        <v>253</v>
      </c>
      <c r="E302" s="59"/>
      <c r="F302" s="49">
        <f>F303+F306</f>
        <v>845.9</v>
      </c>
      <c r="G302" s="49">
        <f>G303+G306</f>
        <v>36.799999999999997</v>
      </c>
      <c r="H302" s="258">
        <f t="shared" si="72"/>
        <v>4.3503960278992788E-2</v>
      </c>
      <c r="I302" s="4"/>
      <c r="J302" s="4"/>
      <c r="K302" s="4"/>
      <c r="L302" s="5"/>
      <c r="M302" s="5"/>
    </row>
    <row r="303" spans="1:13" s="56" customFormat="1" ht="52.9" customHeight="1" x14ac:dyDescent="0.2">
      <c r="A303" s="57" t="s">
        <v>254</v>
      </c>
      <c r="B303" s="58" t="s">
        <v>8</v>
      </c>
      <c r="C303" s="58" t="s">
        <v>247</v>
      </c>
      <c r="D303" s="58" t="s">
        <v>255</v>
      </c>
      <c r="E303" s="59"/>
      <c r="F303" s="49">
        <f>F304</f>
        <v>812.5</v>
      </c>
      <c r="G303" s="49">
        <f>G304</f>
        <v>19.7</v>
      </c>
      <c r="H303" s="258">
        <f t="shared" si="72"/>
        <v>2.4246153846153844E-2</v>
      </c>
      <c r="I303" s="4"/>
      <c r="J303" s="4"/>
      <c r="K303" s="4"/>
      <c r="L303" s="5"/>
      <c r="M303" s="5"/>
    </row>
    <row r="304" spans="1:13" s="56" customFormat="1" ht="31.5" x14ac:dyDescent="0.2">
      <c r="A304" s="57" t="s">
        <v>25</v>
      </c>
      <c r="B304" s="58" t="s">
        <v>8</v>
      </c>
      <c r="C304" s="58" t="s">
        <v>247</v>
      </c>
      <c r="D304" s="58" t="s">
        <v>255</v>
      </c>
      <c r="E304" s="59">
        <v>200</v>
      </c>
      <c r="F304" s="49">
        <f>F305</f>
        <v>812.5</v>
      </c>
      <c r="G304" s="49">
        <f>G305</f>
        <v>19.7</v>
      </c>
      <c r="H304" s="258">
        <f t="shared" si="72"/>
        <v>2.4246153846153844E-2</v>
      </c>
      <c r="I304" s="4"/>
      <c r="J304" s="4"/>
      <c r="K304" s="4"/>
      <c r="L304" s="5"/>
      <c r="M304" s="5"/>
    </row>
    <row r="305" spans="1:13" s="56" customFormat="1" ht="31.5" x14ac:dyDescent="0.2">
      <c r="A305" s="57" t="s">
        <v>26</v>
      </c>
      <c r="B305" s="58" t="s">
        <v>8</v>
      </c>
      <c r="C305" s="58" t="s">
        <v>247</v>
      </c>
      <c r="D305" s="58" t="s">
        <v>255</v>
      </c>
      <c r="E305" s="59">
        <v>240</v>
      </c>
      <c r="F305" s="49">
        <f>805.8+6.7</f>
        <v>812.5</v>
      </c>
      <c r="G305" s="49">
        <v>19.7</v>
      </c>
      <c r="H305" s="258">
        <f t="shared" si="72"/>
        <v>2.4246153846153844E-2</v>
      </c>
      <c r="I305" s="4"/>
      <c r="J305" s="4"/>
      <c r="K305" s="4"/>
      <c r="L305" s="5"/>
      <c r="M305" s="5"/>
    </row>
    <row r="306" spans="1:13" s="56" customFormat="1" ht="64.900000000000006" customHeight="1" x14ac:dyDescent="0.2">
      <c r="A306" s="57" t="s">
        <v>256</v>
      </c>
      <c r="B306" s="58" t="s">
        <v>8</v>
      </c>
      <c r="C306" s="58" t="s">
        <v>247</v>
      </c>
      <c r="D306" s="58" t="s">
        <v>257</v>
      </c>
      <c r="E306" s="59"/>
      <c r="F306" s="49">
        <f>F307</f>
        <v>33.4</v>
      </c>
      <c r="G306" s="49">
        <f>G307</f>
        <v>17.100000000000001</v>
      </c>
      <c r="H306" s="258">
        <f t="shared" si="72"/>
        <v>0.51197604790419171</v>
      </c>
      <c r="I306" s="4"/>
      <c r="J306" s="4"/>
      <c r="K306" s="4"/>
      <c r="L306" s="5"/>
      <c r="M306" s="5"/>
    </row>
    <row r="307" spans="1:13" s="56" customFormat="1" ht="78.75" x14ac:dyDescent="0.2">
      <c r="A307" s="57" t="s">
        <v>23</v>
      </c>
      <c r="B307" s="58" t="s">
        <v>8</v>
      </c>
      <c r="C307" s="58" t="s">
        <v>247</v>
      </c>
      <c r="D307" s="58" t="s">
        <v>257</v>
      </c>
      <c r="E307" s="59">
        <v>100</v>
      </c>
      <c r="F307" s="49">
        <f>F308</f>
        <v>33.4</v>
      </c>
      <c r="G307" s="49">
        <f>G308</f>
        <v>17.100000000000001</v>
      </c>
      <c r="H307" s="258">
        <f t="shared" si="72"/>
        <v>0.51197604790419171</v>
      </c>
      <c r="I307" s="4"/>
      <c r="J307" s="4"/>
      <c r="K307" s="4"/>
      <c r="L307" s="5"/>
      <c r="M307" s="5"/>
    </row>
    <row r="308" spans="1:13" s="56" customFormat="1" ht="31.5" x14ac:dyDescent="0.2">
      <c r="A308" s="57" t="s">
        <v>24</v>
      </c>
      <c r="B308" s="58" t="s">
        <v>8</v>
      </c>
      <c r="C308" s="58" t="s">
        <v>247</v>
      </c>
      <c r="D308" s="58" t="s">
        <v>257</v>
      </c>
      <c r="E308" s="58" t="s">
        <v>44</v>
      </c>
      <c r="F308" s="49">
        <f>35.4-2</f>
        <v>33.4</v>
      </c>
      <c r="G308" s="49">
        <f>13.1+4</f>
        <v>17.100000000000001</v>
      </c>
      <c r="H308" s="258">
        <f t="shared" si="72"/>
        <v>0.51197604790419171</v>
      </c>
      <c r="I308" s="4"/>
      <c r="J308" s="4"/>
      <c r="K308" s="4"/>
      <c r="L308" s="5"/>
      <c r="M308" s="5"/>
    </row>
    <row r="309" spans="1:13" s="56" customFormat="1" ht="31.5" x14ac:dyDescent="0.2">
      <c r="A309" s="57" t="s">
        <v>258</v>
      </c>
      <c r="B309" s="58" t="s">
        <v>8</v>
      </c>
      <c r="C309" s="58" t="s">
        <v>247</v>
      </c>
      <c r="D309" s="58" t="s">
        <v>259</v>
      </c>
      <c r="E309" s="59"/>
      <c r="F309" s="49">
        <f>F310+F316</f>
        <v>6554</v>
      </c>
      <c r="G309" s="49">
        <f>G310+G316</f>
        <v>4780.0999999999995</v>
      </c>
      <c r="H309" s="258">
        <f t="shared" si="72"/>
        <v>0.7293408605431797</v>
      </c>
      <c r="I309" s="4"/>
      <c r="J309" s="4"/>
      <c r="K309" s="4"/>
      <c r="L309" s="5"/>
      <c r="M309" s="5"/>
    </row>
    <row r="310" spans="1:13" s="56" customFormat="1" x14ac:dyDescent="0.2">
      <c r="A310" s="57" t="s">
        <v>260</v>
      </c>
      <c r="B310" s="58" t="s">
        <v>8</v>
      </c>
      <c r="C310" s="58" t="s">
        <v>247</v>
      </c>
      <c r="D310" s="58" t="s">
        <v>261</v>
      </c>
      <c r="E310" s="59"/>
      <c r="F310" s="49">
        <f>F311+F313</f>
        <v>3435.5</v>
      </c>
      <c r="G310" s="49">
        <f>G311+G313</f>
        <v>2877.7</v>
      </c>
      <c r="H310" s="258">
        <f t="shared" si="72"/>
        <v>0.83763644302139417</v>
      </c>
      <c r="I310" s="4"/>
      <c r="J310" s="4"/>
      <c r="K310" s="4"/>
      <c r="L310" s="5"/>
      <c r="M310" s="5"/>
    </row>
    <row r="311" spans="1:13" s="56" customFormat="1" ht="31.5" x14ac:dyDescent="0.2">
      <c r="A311" s="57" t="s">
        <v>25</v>
      </c>
      <c r="B311" s="58" t="s">
        <v>8</v>
      </c>
      <c r="C311" s="58" t="s">
        <v>247</v>
      </c>
      <c r="D311" s="58" t="s">
        <v>261</v>
      </c>
      <c r="E311" s="58" t="s">
        <v>36</v>
      </c>
      <c r="F311" s="49">
        <f>F312</f>
        <v>897.3</v>
      </c>
      <c r="G311" s="49">
        <f>G312</f>
        <v>553</v>
      </c>
      <c r="H311" s="258">
        <f t="shared" si="72"/>
        <v>0.61629332441769757</v>
      </c>
      <c r="I311" s="4"/>
      <c r="J311" s="4"/>
      <c r="K311" s="4"/>
      <c r="L311" s="5"/>
      <c r="M311" s="5"/>
    </row>
    <row r="312" spans="1:13" s="56" customFormat="1" ht="31.5" x14ac:dyDescent="0.2">
      <c r="A312" s="57" t="s">
        <v>26</v>
      </c>
      <c r="B312" s="58" t="s">
        <v>8</v>
      </c>
      <c r="C312" s="58" t="s">
        <v>247</v>
      </c>
      <c r="D312" s="58" t="s">
        <v>261</v>
      </c>
      <c r="E312" s="58" t="s">
        <v>37</v>
      </c>
      <c r="F312" s="49">
        <f>830+67.3</f>
        <v>897.3</v>
      </c>
      <c r="G312" s="49">
        <v>553</v>
      </c>
      <c r="H312" s="258">
        <f t="shared" si="72"/>
        <v>0.61629332441769757</v>
      </c>
      <c r="I312" s="4"/>
      <c r="J312" s="4"/>
      <c r="K312" s="4"/>
      <c r="L312" s="5"/>
      <c r="M312" s="5"/>
    </row>
    <row r="313" spans="1:13" s="56" customFormat="1" x14ac:dyDescent="0.2">
      <c r="A313" s="57" t="s">
        <v>29</v>
      </c>
      <c r="B313" s="58" t="s">
        <v>8</v>
      </c>
      <c r="C313" s="58" t="s">
        <v>247</v>
      </c>
      <c r="D313" s="58" t="s">
        <v>261</v>
      </c>
      <c r="E313" s="59">
        <v>800</v>
      </c>
      <c r="F313" s="49">
        <f>F314+F315</f>
        <v>2538.1999999999998</v>
      </c>
      <c r="G313" s="49">
        <f>G314+G315</f>
        <v>2324.6999999999998</v>
      </c>
      <c r="H313" s="258">
        <f t="shared" si="72"/>
        <v>0.91588527302813016</v>
      </c>
      <c r="I313" s="4"/>
      <c r="J313" s="4"/>
      <c r="K313" s="4"/>
      <c r="L313" s="5"/>
      <c r="M313" s="5"/>
    </row>
    <row r="314" spans="1:13" s="56" customFormat="1" ht="47.25" hidden="1" x14ac:dyDescent="0.2">
      <c r="A314" s="103" t="s">
        <v>233</v>
      </c>
      <c r="B314" s="58" t="s">
        <v>8</v>
      </c>
      <c r="C314" s="58" t="s">
        <v>247</v>
      </c>
      <c r="D314" s="58" t="s">
        <v>261</v>
      </c>
      <c r="E314" s="58" t="s">
        <v>196</v>
      </c>
      <c r="F314" s="49"/>
      <c r="G314" s="49"/>
      <c r="H314" s="258" t="e">
        <f t="shared" si="72"/>
        <v>#DIV/0!</v>
      </c>
      <c r="I314" s="4"/>
      <c r="J314" s="4"/>
      <c r="K314" s="4"/>
      <c r="L314" s="5"/>
      <c r="M314" s="5"/>
    </row>
    <row r="315" spans="1:13" s="56" customFormat="1" ht="47.25" x14ac:dyDescent="0.2">
      <c r="A315" s="103" t="s">
        <v>233</v>
      </c>
      <c r="B315" s="58" t="s">
        <v>8</v>
      </c>
      <c r="C315" s="58" t="s">
        <v>247</v>
      </c>
      <c r="D315" s="58" t="s">
        <v>261</v>
      </c>
      <c r="E315" s="58" t="s">
        <v>196</v>
      </c>
      <c r="F315" s="49">
        <f>2605.5-67.3</f>
        <v>2538.1999999999998</v>
      </c>
      <c r="G315" s="49">
        <v>2324.6999999999998</v>
      </c>
      <c r="H315" s="258">
        <f t="shared" si="72"/>
        <v>0.91588527302813016</v>
      </c>
      <c r="I315" s="4"/>
      <c r="J315" s="4"/>
      <c r="K315" s="4"/>
      <c r="L315" s="5"/>
      <c r="M315" s="5"/>
    </row>
    <row r="316" spans="1:13" s="72" customFormat="1" ht="63" x14ac:dyDescent="0.2">
      <c r="A316" s="57" t="s">
        <v>262</v>
      </c>
      <c r="B316" s="58" t="s">
        <v>8</v>
      </c>
      <c r="C316" s="58" t="s">
        <v>247</v>
      </c>
      <c r="D316" s="58" t="s">
        <v>263</v>
      </c>
      <c r="E316" s="59"/>
      <c r="F316" s="49">
        <f>F317+F319</f>
        <v>3118.5</v>
      </c>
      <c r="G316" s="49">
        <f>G317+G319</f>
        <v>1902.3999999999996</v>
      </c>
      <c r="H316" s="258">
        <f t="shared" si="72"/>
        <v>0.61003687670354323</v>
      </c>
      <c r="I316" s="4"/>
      <c r="J316" s="4"/>
      <c r="K316" s="4"/>
      <c r="L316" s="123"/>
      <c r="M316" s="123"/>
    </row>
    <row r="317" spans="1:13" s="56" customFormat="1" ht="78.75" x14ac:dyDescent="0.2">
      <c r="A317" s="57" t="s">
        <v>23</v>
      </c>
      <c r="B317" s="58" t="s">
        <v>8</v>
      </c>
      <c r="C317" s="58" t="s">
        <v>247</v>
      </c>
      <c r="D317" s="58" t="s">
        <v>263</v>
      </c>
      <c r="E317" s="59">
        <v>100</v>
      </c>
      <c r="F317" s="49">
        <f>F318</f>
        <v>2835</v>
      </c>
      <c r="G317" s="49">
        <f>G318</f>
        <v>1708.2999999999997</v>
      </c>
      <c r="H317" s="258">
        <f t="shared" si="72"/>
        <v>0.60257495590828913</v>
      </c>
      <c r="I317" s="4"/>
      <c r="J317" s="4"/>
      <c r="K317" s="4"/>
      <c r="L317" s="123"/>
      <c r="M317" s="123"/>
    </row>
    <row r="318" spans="1:13" s="56" customFormat="1" ht="31.5" x14ac:dyDescent="0.2">
      <c r="A318" s="57" t="s">
        <v>24</v>
      </c>
      <c r="B318" s="58" t="s">
        <v>8</v>
      </c>
      <c r="C318" s="58" t="s">
        <v>247</v>
      </c>
      <c r="D318" s="58" t="s">
        <v>263</v>
      </c>
      <c r="E318" s="59">
        <v>120</v>
      </c>
      <c r="F318" s="49">
        <f>2718.1+116.9</f>
        <v>2835</v>
      </c>
      <c r="G318" s="49">
        <f>1320.3+7.6+380.4</f>
        <v>1708.2999999999997</v>
      </c>
      <c r="H318" s="258">
        <f t="shared" si="72"/>
        <v>0.60257495590828913</v>
      </c>
      <c r="I318" s="4"/>
      <c r="J318" s="4"/>
      <c r="K318" s="4"/>
      <c r="L318" s="123"/>
      <c r="M318" s="123"/>
    </row>
    <row r="319" spans="1:13" s="72" customFormat="1" ht="31.5" x14ac:dyDescent="0.2">
      <c r="A319" s="57" t="s">
        <v>25</v>
      </c>
      <c r="B319" s="58" t="s">
        <v>8</v>
      </c>
      <c r="C319" s="58" t="s">
        <v>247</v>
      </c>
      <c r="D319" s="58" t="s">
        <v>263</v>
      </c>
      <c r="E319" s="59">
        <v>200</v>
      </c>
      <c r="F319" s="49">
        <f>F320</f>
        <v>283.5</v>
      </c>
      <c r="G319" s="49">
        <f>G320</f>
        <v>194.1</v>
      </c>
      <c r="H319" s="258">
        <f t="shared" si="72"/>
        <v>0.68465608465608463</v>
      </c>
      <c r="I319" s="4"/>
      <c r="J319" s="4"/>
      <c r="K319" s="4"/>
      <c r="L319" s="123"/>
      <c r="M319" s="123"/>
    </row>
    <row r="320" spans="1:13" s="56" customFormat="1" ht="31.5" x14ac:dyDescent="0.2">
      <c r="A320" s="57" t="s">
        <v>26</v>
      </c>
      <c r="B320" s="58" t="s">
        <v>8</v>
      </c>
      <c r="C320" s="58" t="s">
        <v>247</v>
      </c>
      <c r="D320" s="58" t="s">
        <v>263</v>
      </c>
      <c r="E320" s="59">
        <v>240</v>
      </c>
      <c r="F320" s="49">
        <f>271.8+11.7</f>
        <v>283.5</v>
      </c>
      <c r="G320" s="49">
        <v>194.1</v>
      </c>
      <c r="H320" s="258">
        <f t="shared" si="72"/>
        <v>0.68465608465608463</v>
      </c>
      <c r="I320" s="4"/>
      <c r="J320" s="4"/>
      <c r="K320" s="4"/>
      <c r="L320" s="123"/>
      <c r="M320" s="123"/>
    </row>
    <row r="321" spans="1:13" s="56" customFormat="1" ht="50.45" customHeight="1" x14ac:dyDescent="0.2">
      <c r="A321" s="57" t="s">
        <v>264</v>
      </c>
      <c r="B321" s="58" t="s">
        <v>8</v>
      </c>
      <c r="C321" s="58" t="s">
        <v>247</v>
      </c>
      <c r="D321" s="58" t="s">
        <v>265</v>
      </c>
      <c r="E321" s="59"/>
      <c r="F321" s="49">
        <f>F322+F325</f>
        <v>18</v>
      </c>
      <c r="G321" s="49">
        <f>G322+G325</f>
        <v>0</v>
      </c>
      <c r="H321" s="258">
        <f t="shared" si="72"/>
        <v>0</v>
      </c>
      <c r="I321" s="4"/>
      <c r="J321" s="4"/>
      <c r="K321" s="4"/>
      <c r="L321" s="123"/>
      <c r="M321" s="123"/>
    </row>
    <row r="322" spans="1:13" s="72" customFormat="1" ht="46.9" customHeight="1" x14ac:dyDescent="0.2">
      <c r="A322" s="57" t="s">
        <v>266</v>
      </c>
      <c r="B322" s="58" t="s">
        <v>8</v>
      </c>
      <c r="C322" s="58" t="s">
        <v>247</v>
      </c>
      <c r="D322" s="58" t="s">
        <v>267</v>
      </c>
      <c r="E322" s="59"/>
      <c r="F322" s="49">
        <f>F323</f>
        <v>6</v>
      </c>
      <c r="G322" s="49">
        <f>G323</f>
        <v>0</v>
      </c>
      <c r="H322" s="258">
        <f t="shared" si="72"/>
        <v>0</v>
      </c>
      <c r="I322" s="124"/>
      <c r="J322" s="124"/>
      <c r="K322" s="124"/>
      <c r="L322" s="125"/>
      <c r="M322" s="125"/>
    </row>
    <row r="323" spans="1:13" s="72" customFormat="1" x14ac:dyDescent="0.2">
      <c r="A323" s="57" t="s">
        <v>29</v>
      </c>
      <c r="B323" s="58" t="s">
        <v>8</v>
      </c>
      <c r="C323" s="58" t="s">
        <v>247</v>
      </c>
      <c r="D323" s="58" t="s">
        <v>267</v>
      </c>
      <c r="E323" s="59">
        <v>800</v>
      </c>
      <c r="F323" s="49">
        <f>F324</f>
        <v>6</v>
      </c>
      <c r="G323" s="49">
        <f>G324</f>
        <v>0</v>
      </c>
      <c r="H323" s="258">
        <f t="shared" si="72"/>
        <v>0</v>
      </c>
      <c r="I323" s="124"/>
      <c r="J323" s="124"/>
      <c r="K323" s="124"/>
      <c r="L323" s="125"/>
      <c r="M323" s="125"/>
    </row>
    <row r="324" spans="1:13" s="72" customFormat="1" ht="47.25" x14ac:dyDescent="0.2">
      <c r="A324" s="103" t="s">
        <v>233</v>
      </c>
      <c r="B324" s="58" t="s">
        <v>8</v>
      </c>
      <c r="C324" s="58" t="s">
        <v>247</v>
      </c>
      <c r="D324" s="58" t="s">
        <v>267</v>
      </c>
      <c r="E324" s="58" t="s">
        <v>196</v>
      </c>
      <c r="F324" s="49">
        <v>6</v>
      </c>
      <c r="G324" s="49">
        <v>0</v>
      </c>
      <c r="H324" s="258">
        <f t="shared" si="72"/>
        <v>0</v>
      </c>
      <c r="I324" s="124"/>
      <c r="J324" s="124"/>
      <c r="K324" s="124"/>
      <c r="L324" s="125"/>
      <c r="M324" s="125"/>
    </row>
    <row r="325" spans="1:13" s="72" customFormat="1" ht="48.6" customHeight="1" x14ac:dyDescent="0.2">
      <c r="A325" s="57" t="s">
        <v>266</v>
      </c>
      <c r="B325" s="58" t="s">
        <v>8</v>
      </c>
      <c r="C325" s="58" t="s">
        <v>247</v>
      </c>
      <c r="D325" s="58" t="s">
        <v>268</v>
      </c>
      <c r="E325" s="59"/>
      <c r="F325" s="49">
        <f>F326</f>
        <v>12</v>
      </c>
      <c r="G325" s="49">
        <f>G326</f>
        <v>0</v>
      </c>
      <c r="H325" s="258">
        <f t="shared" si="72"/>
        <v>0</v>
      </c>
      <c r="I325" s="124"/>
      <c r="J325" s="124"/>
      <c r="K325" s="124"/>
      <c r="L325" s="125"/>
      <c r="M325" s="125"/>
    </row>
    <row r="326" spans="1:13" s="60" customFormat="1" x14ac:dyDescent="0.2">
      <c r="A326" s="57" t="s">
        <v>29</v>
      </c>
      <c r="B326" s="58" t="s">
        <v>8</v>
      </c>
      <c r="C326" s="58" t="s">
        <v>247</v>
      </c>
      <c r="D326" s="58" t="s">
        <v>268</v>
      </c>
      <c r="E326" s="59">
        <v>800</v>
      </c>
      <c r="F326" s="49">
        <f>F327</f>
        <v>12</v>
      </c>
      <c r="G326" s="49">
        <f>G327</f>
        <v>0</v>
      </c>
      <c r="H326" s="258">
        <f t="shared" si="72"/>
        <v>0</v>
      </c>
      <c r="I326" s="124"/>
      <c r="J326" s="124"/>
      <c r="K326" s="124"/>
      <c r="L326" s="125"/>
      <c r="M326" s="125"/>
    </row>
    <row r="327" spans="1:13" s="56" customFormat="1" ht="47.25" x14ac:dyDescent="0.2">
      <c r="A327" s="103" t="s">
        <v>233</v>
      </c>
      <c r="B327" s="58" t="s">
        <v>8</v>
      </c>
      <c r="C327" s="58" t="s">
        <v>247</v>
      </c>
      <c r="D327" s="58" t="s">
        <v>268</v>
      </c>
      <c r="E327" s="58" t="s">
        <v>196</v>
      </c>
      <c r="F327" s="49">
        <f>10+2</f>
        <v>12</v>
      </c>
      <c r="G327" s="49">
        <v>0</v>
      </c>
      <c r="H327" s="258">
        <f t="shared" si="72"/>
        <v>0</v>
      </c>
      <c r="I327" s="124"/>
      <c r="J327" s="124"/>
      <c r="K327" s="124"/>
      <c r="L327" s="125"/>
      <c r="M327" s="125"/>
    </row>
    <row r="328" spans="1:13" s="56" customFormat="1" ht="33" customHeight="1" x14ac:dyDescent="0.2">
      <c r="A328" s="57" t="s">
        <v>269</v>
      </c>
      <c r="B328" s="58" t="s">
        <v>8</v>
      </c>
      <c r="C328" s="58" t="s">
        <v>247</v>
      </c>
      <c r="D328" s="58" t="s">
        <v>270</v>
      </c>
      <c r="E328" s="59"/>
      <c r="F328" s="49">
        <f>F329+F332</f>
        <v>15093.7</v>
      </c>
      <c r="G328" s="49">
        <f>G329+G332</f>
        <v>12017.5</v>
      </c>
      <c r="H328" s="258">
        <f t="shared" si="72"/>
        <v>0.79619311368319223</v>
      </c>
      <c r="I328" s="124"/>
      <c r="J328" s="124"/>
      <c r="K328" s="124"/>
      <c r="L328" s="125"/>
      <c r="M328" s="125"/>
    </row>
    <row r="329" spans="1:13" s="56" customFormat="1" ht="32.450000000000003" customHeight="1" x14ac:dyDescent="0.2">
      <c r="A329" s="103" t="s">
        <v>271</v>
      </c>
      <c r="B329" s="58" t="s">
        <v>8</v>
      </c>
      <c r="C329" s="58" t="s">
        <v>247</v>
      </c>
      <c r="D329" s="58" t="s">
        <v>272</v>
      </c>
      <c r="E329" s="59"/>
      <c r="F329" s="49">
        <f>F330</f>
        <v>13143.7</v>
      </c>
      <c r="G329" s="49">
        <f>G330</f>
        <v>10231.4</v>
      </c>
      <c r="H329" s="258">
        <f t="shared" si="72"/>
        <v>0.77842616614804039</v>
      </c>
      <c r="I329" s="124"/>
      <c r="J329" s="124"/>
      <c r="K329" s="124"/>
      <c r="L329" s="125"/>
      <c r="M329" s="125"/>
    </row>
    <row r="330" spans="1:13" s="56" customFormat="1" x14ac:dyDescent="0.2">
      <c r="A330" s="57" t="s">
        <v>29</v>
      </c>
      <c r="B330" s="58" t="s">
        <v>8</v>
      </c>
      <c r="C330" s="58" t="s">
        <v>247</v>
      </c>
      <c r="D330" s="58" t="s">
        <v>272</v>
      </c>
      <c r="E330" s="59">
        <v>800</v>
      </c>
      <c r="F330" s="49">
        <f>F331</f>
        <v>13143.7</v>
      </c>
      <c r="G330" s="49">
        <f>G331</f>
        <v>10231.4</v>
      </c>
      <c r="H330" s="258">
        <f t="shared" ref="H330:H393" si="77">G330/F330</f>
        <v>0.77842616614804039</v>
      </c>
      <c r="I330" s="124"/>
      <c r="J330" s="124"/>
      <c r="K330" s="124"/>
      <c r="L330" s="125"/>
      <c r="M330" s="125"/>
    </row>
    <row r="331" spans="1:13" s="56" customFormat="1" ht="47.25" x14ac:dyDescent="0.2">
      <c r="A331" s="103" t="s">
        <v>233</v>
      </c>
      <c r="B331" s="58" t="s">
        <v>8</v>
      </c>
      <c r="C331" s="58" t="s">
        <v>247</v>
      </c>
      <c r="D331" s="58" t="s">
        <v>272</v>
      </c>
      <c r="E331" s="58" t="s">
        <v>196</v>
      </c>
      <c r="F331" s="49">
        <v>13143.7</v>
      </c>
      <c r="G331" s="49">
        <v>10231.4</v>
      </c>
      <c r="H331" s="258">
        <f t="shared" si="77"/>
        <v>0.77842616614804039</v>
      </c>
      <c r="I331" s="124"/>
      <c r="J331" s="124"/>
      <c r="K331" s="124"/>
      <c r="L331" s="125"/>
      <c r="M331" s="125"/>
    </row>
    <row r="332" spans="1:13" s="56" customFormat="1" ht="37.15" customHeight="1" x14ac:dyDescent="0.2">
      <c r="A332" s="103" t="s">
        <v>273</v>
      </c>
      <c r="B332" s="58" t="s">
        <v>8</v>
      </c>
      <c r="C332" s="58" t="s">
        <v>247</v>
      </c>
      <c r="D332" s="58" t="s">
        <v>274</v>
      </c>
      <c r="E332" s="59"/>
      <c r="F332" s="49">
        <f>F333</f>
        <v>1950</v>
      </c>
      <c r="G332" s="49">
        <f>G333</f>
        <v>1786.1</v>
      </c>
      <c r="H332" s="258">
        <f t="shared" si="77"/>
        <v>0.91594871794871791</v>
      </c>
      <c r="I332" s="124"/>
      <c r="J332" s="124"/>
      <c r="K332" s="124"/>
      <c r="L332" s="125"/>
      <c r="M332" s="125"/>
    </row>
    <row r="333" spans="1:13" s="56" customFormat="1" x14ac:dyDescent="0.2">
      <c r="A333" s="57" t="s">
        <v>29</v>
      </c>
      <c r="B333" s="58" t="s">
        <v>8</v>
      </c>
      <c r="C333" s="58" t="s">
        <v>247</v>
      </c>
      <c r="D333" s="58" t="s">
        <v>274</v>
      </c>
      <c r="E333" s="59">
        <v>800</v>
      </c>
      <c r="F333" s="49">
        <f>F334</f>
        <v>1950</v>
      </c>
      <c r="G333" s="49">
        <f>G334</f>
        <v>1786.1</v>
      </c>
      <c r="H333" s="258">
        <f t="shared" si="77"/>
        <v>0.91594871794871791</v>
      </c>
      <c r="I333" s="124"/>
      <c r="J333" s="124"/>
      <c r="K333" s="124"/>
      <c r="L333" s="125"/>
      <c r="M333" s="125"/>
    </row>
    <row r="334" spans="1:13" s="72" customFormat="1" ht="47.25" x14ac:dyDescent="0.2">
      <c r="A334" s="103" t="s">
        <v>233</v>
      </c>
      <c r="B334" s="58" t="s">
        <v>8</v>
      </c>
      <c r="C334" s="58" t="s">
        <v>247</v>
      </c>
      <c r="D334" s="58" t="s">
        <v>274</v>
      </c>
      <c r="E334" s="58" t="s">
        <v>196</v>
      </c>
      <c r="F334" s="49">
        <f>1618.5+331.5</f>
        <v>1950</v>
      </c>
      <c r="G334" s="49">
        <v>1786.1</v>
      </c>
      <c r="H334" s="258">
        <f t="shared" si="77"/>
        <v>0.91594871794871791</v>
      </c>
      <c r="I334" s="124"/>
      <c r="J334" s="124"/>
      <c r="K334" s="124"/>
      <c r="L334" s="125"/>
      <c r="M334" s="125"/>
    </row>
    <row r="335" spans="1:13" s="5" customFormat="1" x14ac:dyDescent="0.2">
      <c r="A335" s="23" t="s">
        <v>197</v>
      </c>
      <c r="B335" s="15" t="s">
        <v>8</v>
      </c>
      <c r="C335" s="15" t="s">
        <v>247</v>
      </c>
      <c r="D335" s="15" t="s">
        <v>198</v>
      </c>
      <c r="E335" s="15"/>
      <c r="F335" s="25">
        <f>F336</f>
        <v>160</v>
      </c>
      <c r="G335" s="25">
        <f>G336</f>
        <v>70.900000000000006</v>
      </c>
      <c r="H335" s="258">
        <f t="shared" si="77"/>
        <v>0.44312500000000005</v>
      </c>
      <c r="I335" s="124"/>
      <c r="J335" s="124"/>
      <c r="K335" s="124"/>
      <c r="L335" s="125"/>
      <c r="M335" s="125"/>
    </row>
    <row r="336" spans="1:13" s="5" customFormat="1" ht="79.900000000000006" customHeight="1" x14ac:dyDescent="0.2">
      <c r="A336" s="105" t="s">
        <v>275</v>
      </c>
      <c r="B336" s="40" t="s">
        <v>8</v>
      </c>
      <c r="C336" s="40" t="s">
        <v>247</v>
      </c>
      <c r="D336" s="40" t="s">
        <v>276</v>
      </c>
      <c r="E336" s="40"/>
      <c r="F336" s="42">
        <f>F339+F341</f>
        <v>160</v>
      </c>
      <c r="G336" s="42">
        <f>G339+G341</f>
        <v>70.900000000000006</v>
      </c>
      <c r="H336" s="258">
        <f t="shared" si="77"/>
        <v>0.44312500000000005</v>
      </c>
      <c r="I336" s="124"/>
      <c r="J336" s="124"/>
      <c r="K336" s="124"/>
      <c r="L336" s="125"/>
      <c r="M336" s="125"/>
    </row>
    <row r="337" spans="1:13" s="5" customFormat="1" ht="31.5" hidden="1" x14ac:dyDescent="0.2">
      <c r="A337" s="43" t="s">
        <v>25</v>
      </c>
      <c r="B337" s="31" t="s">
        <v>8</v>
      </c>
      <c r="C337" s="31" t="s">
        <v>247</v>
      </c>
      <c r="D337" s="31" t="s">
        <v>276</v>
      </c>
      <c r="E337" s="31" t="s">
        <v>36</v>
      </c>
      <c r="F337" s="29">
        <f>F338</f>
        <v>0</v>
      </c>
      <c r="G337" s="29">
        <f>G338</f>
        <v>0</v>
      </c>
      <c r="H337" s="258" t="e">
        <f t="shared" si="77"/>
        <v>#DIV/0!</v>
      </c>
      <c r="I337" s="124"/>
      <c r="J337" s="124"/>
      <c r="K337" s="124"/>
      <c r="L337" s="125"/>
      <c r="M337" s="125"/>
    </row>
    <row r="338" spans="1:13" s="5" customFormat="1" ht="31.5" hidden="1" x14ac:dyDescent="0.2">
      <c r="A338" s="43" t="s">
        <v>26</v>
      </c>
      <c r="B338" s="31" t="s">
        <v>8</v>
      </c>
      <c r="C338" s="31" t="s">
        <v>247</v>
      </c>
      <c r="D338" s="31" t="s">
        <v>276</v>
      </c>
      <c r="E338" s="31" t="s">
        <v>37</v>
      </c>
      <c r="F338" s="29">
        <f>30-30</f>
        <v>0</v>
      </c>
      <c r="G338" s="29">
        <f>30-30</f>
        <v>0</v>
      </c>
      <c r="H338" s="258" t="e">
        <f t="shared" si="77"/>
        <v>#DIV/0!</v>
      </c>
      <c r="I338" s="124"/>
      <c r="J338" s="124"/>
      <c r="K338" s="124"/>
      <c r="L338" s="125"/>
      <c r="M338" s="125"/>
    </row>
    <row r="339" spans="1:13" s="5" customFormat="1" ht="31.5" hidden="1" x14ac:dyDescent="0.2">
      <c r="A339" s="43" t="s">
        <v>25</v>
      </c>
      <c r="B339" s="31" t="s">
        <v>8</v>
      </c>
      <c r="C339" s="31" t="s">
        <v>247</v>
      </c>
      <c r="D339" s="31" t="s">
        <v>276</v>
      </c>
      <c r="E339" s="31" t="s">
        <v>36</v>
      </c>
      <c r="F339" s="29">
        <f>F340</f>
        <v>0</v>
      </c>
      <c r="G339" s="29">
        <f>G340</f>
        <v>0</v>
      </c>
      <c r="H339" s="258" t="e">
        <f t="shared" si="77"/>
        <v>#DIV/0!</v>
      </c>
      <c r="I339" s="124"/>
      <c r="J339" s="124"/>
      <c r="K339" s="124"/>
      <c r="L339" s="125"/>
      <c r="M339" s="125"/>
    </row>
    <row r="340" spans="1:13" s="5" customFormat="1" ht="31.5" hidden="1" x14ac:dyDescent="0.2">
      <c r="A340" s="43" t="s">
        <v>26</v>
      </c>
      <c r="B340" s="31" t="s">
        <v>8</v>
      </c>
      <c r="C340" s="31" t="s">
        <v>247</v>
      </c>
      <c r="D340" s="31" t="s">
        <v>276</v>
      </c>
      <c r="E340" s="31" t="s">
        <v>37</v>
      </c>
      <c r="F340" s="104">
        <f>30-30</f>
        <v>0</v>
      </c>
      <c r="G340" s="104">
        <f>30-30</f>
        <v>0</v>
      </c>
      <c r="H340" s="258" t="e">
        <f t="shared" si="77"/>
        <v>#DIV/0!</v>
      </c>
      <c r="I340" s="124"/>
      <c r="J340" s="124"/>
      <c r="K340" s="124"/>
      <c r="L340" s="125"/>
      <c r="M340" s="125"/>
    </row>
    <row r="341" spans="1:13" s="45" customFormat="1" x14ac:dyDescent="0.2">
      <c r="A341" s="30" t="s">
        <v>29</v>
      </c>
      <c r="B341" s="31" t="s">
        <v>8</v>
      </c>
      <c r="C341" s="31" t="s">
        <v>247</v>
      </c>
      <c r="D341" s="31" t="s">
        <v>276</v>
      </c>
      <c r="E341" s="31" t="s">
        <v>130</v>
      </c>
      <c r="F341" s="29">
        <f>F344+F345</f>
        <v>160</v>
      </c>
      <c r="G341" s="29">
        <f>G344+G345</f>
        <v>70.900000000000006</v>
      </c>
      <c r="H341" s="258">
        <f t="shared" si="77"/>
        <v>0.44312500000000005</v>
      </c>
      <c r="I341" s="124"/>
      <c r="J341" s="124"/>
      <c r="K341" s="124"/>
      <c r="L341" s="125"/>
      <c r="M341" s="125"/>
    </row>
    <row r="342" spans="1:13" s="45" customFormat="1" hidden="1" x14ac:dyDescent="0.2">
      <c r="A342" s="38" t="s">
        <v>50</v>
      </c>
      <c r="B342" s="31" t="s">
        <v>8</v>
      </c>
      <c r="C342" s="31" t="s">
        <v>247</v>
      </c>
      <c r="D342" s="31" t="s">
        <v>276</v>
      </c>
      <c r="E342" s="31" t="s">
        <v>277</v>
      </c>
      <c r="F342" s="29">
        <f>140-140</f>
        <v>0</v>
      </c>
      <c r="G342" s="29">
        <f>140-140</f>
        <v>0</v>
      </c>
      <c r="H342" s="258" t="e">
        <f t="shared" si="77"/>
        <v>#DIV/0!</v>
      </c>
      <c r="I342" s="124"/>
      <c r="J342" s="124"/>
      <c r="K342" s="124"/>
      <c r="L342" s="125"/>
      <c r="M342" s="125"/>
    </row>
    <row r="343" spans="1:13" s="45" customFormat="1" hidden="1" x14ac:dyDescent="0.2">
      <c r="A343" s="43" t="s">
        <v>50</v>
      </c>
      <c r="B343" s="31" t="s">
        <v>8</v>
      </c>
      <c r="C343" s="31" t="s">
        <v>247</v>
      </c>
      <c r="D343" s="31" t="s">
        <v>276</v>
      </c>
      <c r="E343" s="31" t="s">
        <v>277</v>
      </c>
      <c r="F343" s="29">
        <f>310-310</f>
        <v>0</v>
      </c>
      <c r="G343" s="29">
        <f>310-310</f>
        <v>0</v>
      </c>
      <c r="H343" s="258" t="e">
        <f t="shared" si="77"/>
        <v>#DIV/0!</v>
      </c>
      <c r="I343" s="124"/>
      <c r="J343" s="124"/>
      <c r="K343" s="124"/>
      <c r="L343" s="125"/>
      <c r="M343" s="125"/>
    </row>
    <row r="344" spans="1:13" s="98" customFormat="1" ht="47.25" x14ac:dyDescent="0.2">
      <c r="A344" s="30" t="s">
        <v>233</v>
      </c>
      <c r="B344" s="31" t="s">
        <v>8</v>
      </c>
      <c r="C344" s="31" t="s">
        <v>247</v>
      </c>
      <c r="D344" s="31" t="s">
        <v>276</v>
      </c>
      <c r="E344" s="31" t="s">
        <v>196</v>
      </c>
      <c r="F344" s="29">
        <v>160</v>
      </c>
      <c r="G344" s="29">
        <v>70.900000000000006</v>
      </c>
      <c r="H344" s="258">
        <f t="shared" si="77"/>
        <v>0.44312500000000005</v>
      </c>
      <c r="I344" s="124"/>
      <c r="J344" s="124"/>
      <c r="K344" s="124"/>
      <c r="L344" s="125"/>
      <c r="M344" s="125"/>
    </row>
    <row r="345" spans="1:13" s="45" customFormat="1" hidden="1" x14ac:dyDescent="0.2">
      <c r="A345" s="43" t="s">
        <v>50</v>
      </c>
      <c r="B345" s="31" t="s">
        <v>8</v>
      </c>
      <c r="C345" s="31" t="s">
        <v>247</v>
      </c>
      <c r="D345" s="31" t="s">
        <v>276</v>
      </c>
      <c r="E345" s="31" t="s">
        <v>277</v>
      </c>
      <c r="F345" s="29">
        <f>30-30</f>
        <v>0</v>
      </c>
      <c r="G345" s="29">
        <f>30-30</f>
        <v>0</v>
      </c>
      <c r="H345" s="258" t="e">
        <f t="shared" si="77"/>
        <v>#DIV/0!</v>
      </c>
      <c r="I345" s="124"/>
      <c r="J345" s="124"/>
      <c r="K345" s="124"/>
      <c r="L345" s="125"/>
      <c r="M345" s="125"/>
    </row>
    <row r="346" spans="1:13" s="98" customFormat="1" x14ac:dyDescent="0.2">
      <c r="A346" s="33" t="s">
        <v>278</v>
      </c>
      <c r="B346" s="34" t="s">
        <v>8</v>
      </c>
      <c r="C346" s="34" t="s">
        <v>279</v>
      </c>
      <c r="D346" s="34"/>
      <c r="E346" s="34"/>
      <c r="F346" s="35">
        <f>F352</f>
        <v>848.8</v>
      </c>
      <c r="G346" s="35">
        <f>G352</f>
        <v>831.2</v>
      </c>
      <c r="H346" s="258">
        <f t="shared" si="77"/>
        <v>0.97926484448633377</v>
      </c>
      <c r="I346" s="124"/>
      <c r="J346" s="124"/>
      <c r="K346" s="124"/>
      <c r="L346" s="125"/>
      <c r="M346" s="125"/>
    </row>
    <row r="347" spans="1:13" s="98" customFormat="1" hidden="1" x14ac:dyDescent="0.2">
      <c r="A347" s="23" t="s">
        <v>67</v>
      </c>
      <c r="B347" s="15" t="s">
        <v>8</v>
      </c>
      <c r="C347" s="15" t="s">
        <v>279</v>
      </c>
      <c r="D347" s="15" t="s">
        <v>32</v>
      </c>
      <c r="E347" s="24" t="s">
        <v>4</v>
      </c>
      <c r="F347" s="25">
        <f t="shared" ref="F347:G350" si="78">F348</f>
        <v>0</v>
      </c>
      <c r="G347" s="25">
        <f t="shared" si="78"/>
        <v>0</v>
      </c>
      <c r="H347" s="258" t="e">
        <f t="shared" si="77"/>
        <v>#DIV/0!</v>
      </c>
      <c r="I347" s="124"/>
      <c r="J347" s="124"/>
      <c r="K347" s="124"/>
      <c r="L347" s="125"/>
      <c r="M347" s="125"/>
    </row>
    <row r="348" spans="1:13" s="98" customFormat="1" hidden="1" x14ac:dyDescent="0.2">
      <c r="A348" s="81" t="s">
        <v>33</v>
      </c>
      <c r="B348" s="31" t="s">
        <v>8</v>
      </c>
      <c r="C348" s="31" t="s">
        <v>279</v>
      </c>
      <c r="D348" s="31" t="s">
        <v>34</v>
      </c>
      <c r="E348" s="31" t="s">
        <v>4</v>
      </c>
      <c r="F348" s="83">
        <f t="shared" si="78"/>
        <v>0</v>
      </c>
      <c r="G348" s="83">
        <f t="shared" si="78"/>
        <v>0</v>
      </c>
      <c r="H348" s="258" t="e">
        <f t="shared" si="77"/>
        <v>#DIV/0!</v>
      </c>
      <c r="I348" s="124"/>
      <c r="J348" s="124"/>
      <c r="K348" s="124"/>
      <c r="L348" s="125"/>
      <c r="M348" s="125"/>
    </row>
    <row r="349" spans="1:13" s="98" customFormat="1" ht="31.5" hidden="1" x14ac:dyDescent="0.2">
      <c r="A349" s="81" t="s">
        <v>70</v>
      </c>
      <c r="B349" s="31" t="s">
        <v>8</v>
      </c>
      <c r="C349" s="31" t="s">
        <v>279</v>
      </c>
      <c r="D349" s="31" t="s">
        <v>35</v>
      </c>
      <c r="E349" s="31"/>
      <c r="F349" s="83">
        <f t="shared" si="78"/>
        <v>0</v>
      </c>
      <c r="G349" s="83">
        <f t="shared" si="78"/>
        <v>0</v>
      </c>
      <c r="H349" s="258" t="e">
        <f t="shared" si="77"/>
        <v>#DIV/0!</v>
      </c>
      <c r="I349" s="124"/>
      <c r="J349" s="124"/>
      <c r="K349" s="124"/>
      <c r="L349" s="125"/>
      <c r="M349" s="125"/>
    </row>
    <row r="350" spans="1:13" s="98" customFormat="1" hidden="1" x14ac:dyDescent="0.2">
      <c r="A350" s="43" t="s">
        <v>29</v>
      </c>
      <c r="B350" s="31" t="s">
        <v>8</v>
      </c>
      <c r="C350" s="31" t="s">
        <v>279</v>
      </c>
      <c r="D350" s="31" t="s">
        <v>35</v>
      </c>
      <c r="E350" s="31" t="s">
        <v>130</v>
      </c>
      <c r="F350" s="83">
        <f t="shared" si="78"/>
        <v>0</v>
      </c>
      <c r="G350" s="83">
        <f t="shared" si="78"/>
        <v>0</v>
      </c>
      <c r="H350" s="258" t="e">
        <f t="shared" si="77"/>
        <v>#DIV/0!</v>
      </c>
      <c r="I350" s="124"/>
      <c r="J350" s="124"/>
      <c r="K350" s="124"/>
      <c r="L350" s="125"/>
      <c r="M350" s="125"/>
    </row>
    <row r="351" spans="1:13" s="98" customFormat="1" ht="47.25" hidden="1" x14ac:dyDescent="0.2">
      <c r="A351" s="30" t="s">
        <v>233</v>
      </c>
      <c r="B351" s="31" t="s">
        <v>8</v>
      </c>
      <c r="C351" s="31" t="s">
        <v>279</v>
      </c>
      <c r="D351" s="31" t="s">
        <v>35</v>
      </c>
      <c r="E351" s="31" t="s">
        <v>196</v>
      </c>
      <c r="F351" s="83"/>
      <c r="G351" s="83"/>
      <c r="H351" s="258" t="e">
        <f t="shared" si="77"/>
        <v>#DIV/0!</v>
      </c>
      <c r="I351" s="124"/>
      <c r="J351" s="124"/>
      <c r="K351" s="124"/>
      <c r="L351" s="125"/>
      <c r="M351" s="125"/>
    </row>
    <row r="352" spans="1:13" s="98" customFormat="1" x14ac:dyDescent="0.2">
      <c r="A352" s="23" t="s">
        <v>197</v>
      </c>
      <c r="B352" s="15" t="s">
        <v>8</v>
      </c>
      <c r="C352" s="15" t="s">
        <v>279</v>
      </c>
      <c r="D352" s="15" t="s">
        <v>198</v>
      </c>
      <c r="E352" s="15"/>
      <c r="F352" s="25">
        <f>F353</f>
        <v>848.8</v>
      </c>
      <c r="G352" s="25">
        <f>G353</f>
        <v>831.2</v>
      </c>
      <c r="H352" s="258">
        <f t="shared" si="77"/>
        <v>0.97926484448633377</v>
      </c>
      <c r="I352" s="124"/>
      <c r="J352" s="124"/>
      <c r="K352" s="124"/>
      <c r="L352" s="125"/>
      <c r="M352" s="125"/>
    </row>
    <row r="353" spans="1:13" s="98" customFormat="1" ht="47.25" x14ac:dyDescent="0.2">
      <c r="A353" s="105" t="s">
        <v>280</v>
      </c>
      <c r="B353" s="40" t="s">
        <v>8</v>
      </c>
      <c r="C353" s="40" t="s">
        <v>279</v>
      </c>
      <c r="D353" s="40" t="s">
        <v>281</v>
      </c>
      <c r="E353" s="40"/>
      <c r="F353" s="42">
        <f>F354+F356</f>
        <v>848.8</v>
      </c>
      <c r="G353" s="42">
        <f>G354+G356</f>
        <v>831.2</v>
      </c>
      <c r="H353" s="258">
        <f t="shared" si="77"/>
        <v>0.97926484448633377</v>
      </c>
      <c r="I353" s="124"/>
      <c r="J353" s="124"/>
      <c r="K353" s="124"/>
      <c r="L353" s="125"/>
      <c r="M353" s="125"/>
    </row>
    <row r="354" spans="1:13" s="98" customFormat="1" ht="31.5" hidden="1" x14ac:dyDescent="0.2">
      <c r="A354" s="43" t="s">
        <v>25</v>
      </c>
      <c r="B354" s="31" t="s">
        <v>8</v>
      </c>
      <c r="C354" s="31" t="s">
        <v>279</v>
      </c>
      <c r="D354" s="31" t="s">
        <v>281</v>
      </c>
      <c r="E354" s="31" t="s">
        <v>36</v>
      </c>
      <c r="F354" s="29">
        <f>F355</f>
        <v>0</v>
      </c>
      <c r="G354" s="29">
        <f>G355</f>
        <v>0</v>
      </c>
      <c r="H354" s="258" t="e">
        <f t="shared" si="77"/>
        <v>#DIV/0!</v>
      </c>
      <c r="I354" s="124"/>
      <c r="J354" s="124"/>
      <c r="K354" s="124"/>
      <c r="L354" s="125"/>
      <c r="M354" s="125"/>
    </row>
    <row r="355" spans="1:13" s="98" customFormat="1" ht="31.5" hidden="1" x14ac:dyDescent="0.2">
      <c r="A355" s="43" t="s">
        <v>26</v>
      </c>
      <c r="B355" s="31" t="s">
        <v>8</v>
      </c>
      <c r="C355" s="31" t="s">
        <v>279</v>
      </c>
      <c r="D355" s="31" t="s">
        <v>281</v>
      </c>
      <c r="E355" s="31" t="s">
        <v>37</v>
      </c>
      <c r="F355" s="29">
        <v>0</v>
      </c>
      <c r="G355" s="29">
        <v>0</v>
      </c>
      <c r="H355" s="258" t="e">
        <f t="shared" si="77"/>
        <v>#DIV/0!</v>
      </c>
      <c r="I355" s="124"/>
      <c r="J355" s="124"/>
      <c r="K355" s="124"/>
      <c r="L355" s="125"/>
      <c r="M355" s="125"/>
    </row>
    <row r="356" spans="1:13" s="45" customFormat="1" x14ac:dyDescent="0.2">
      <c r="A356" s="43" t="s">
        <v>29</v>
      </c>
      <c r="B356" s="31" t="s">
        <v>8</v>
      </c>
      <c r="C356" s="31" t="s">
        <v>279</v>
      </c>
      <c r="D356" s="31" t="s">
        <v>281</v>
      </c>
      <c r="E356" s="31" t="s">
        <v>130</v>
      </c>
      <c r="F356" s="29">
        <f>F357</f>
        <v>848.8</v>
      </c>
      <c r="G356" s="29">
        <f>G357</f>
        <v>831.2</v>
      </c>
      <c r="H356" s="258">
        <f t="shared" si="77"/>
        <v>0.97926484448633377</v>
      </c>
      <c r="I356" s="124"/>
      <c r="J356" s="124"/>
      <c r="K356" s="124"/>
      <c r="L356" s="125"/>
      <c r="M356" s="125"/>
    </row>
    <row r="357" spans="1:13" s="45" customFormat="1" ht="47.25" x14ac:dyDescent="0.2">
      <c r="A357" s="30" t="s">
        <v>233</v>
      </c>
      <c r="B357" s="31" t="s">
        <v>8</v>
      </c>
      <c r="C357" s="31" t="s">
        <v>279</v>
      </c>
      <c r="D357" s="31" t="s">
        <v>281</v>
      </c>
      <c r="E357" s="31" t="s">
        <v>196</v>
      </c>
      <c r="F357" s="29">
        <f>800-400+48.8+400</f>
        <v>848.8</v>
      </c>
      <c r="G357" s="29">
        <v>831.2</v>
      </c>
      <c r="H357" s="258">
        <f t="shared" si="77"/>
        <v>0.97926484448633377</v>
      </c>
      <c r="I357" s="124"/>
      <c r="J357" s="124"/>
      <c r="K357" s="124"/>
      <c r="L357" s="125"/>
      <c r="M357" s="125"/>
    </row>
    <row r="358" spans="1:13" s="45" customFormat="1" x14ac:dyDescent="0.2">
      <c r="A358" s="33" t="s">
        <v>282</v>
      </c>
      <c r="B358" s="34" t="s">
        <v>8</v>
      </c>
      <c r="C358" s="34" t="s">
        <v>283</v>
      </c>
      <c r="D358" s="34"/>
      <c r="E358" s="41"/>
      <c r="F358" s="35">
        <f>F367+F373+F381+0.1</f>
        <v>4047</v>
      </c>
      <c r="G358" s="35">
        <f>G367+G373+G381+0.1</f>
        <v>3211.4</v>
      </c>
      <c r="H358" s="258">
        <f t="shared" si="77"/>
        <v>0.79352606869285891</v>
      </c>
      <c r="I358" s="124"/>
      <c r="J358" s="124"/>
      <c r="K358" s="124"/>
      <c r="L358" s="125"/>
      <c r="M358" s="125"/>
    </row>
    <row r="359" spans="1:13" s="45" customFormat="1" hidden="1" x14ac:dyDescent="0.2">
      <c r="A359" s="23" t="s">
        <v>67</v>
      </c>
      <c r="B359" s="15" t="s">
        <v>8</v>
      </c>
      <c r="C359" s="15" t="s">
        <v>283</v>
      </c>
      <c r="D359" s="15" t="s">
        <v>32</v>
      </c>
      <c r="E359" s="24" t="s">
        <v>4</v>
      </c>
      <c r="F359" s="25">
        <f>F360</f>
        <v>0</v>
      </c>
      <c r="G359" s="25">
        <f>G360</f>
        <v>0</v>
      </c>
      <c r="H359" s="258" t="e">
        <f t="shared" si="77"/>
        <v>#DIV/0!</v>
      </c>
      <c r="I359" s="124"/>
      <c r="J359" s="124"/>
      <c r="K359" s="124"/>
      <c r="L359" s="125"/>
      <c r="M359" s="125"/>
    </row>
    <row r="360" spans="1:13" s="45" customFormat="1" hidden="1" x14ac:dyDescent="0.2">
      <c r="A360" s="81" t="s">
        <v>33</v>
      </c>
      <c r="B360" s="31" t="s">
        <v>8</v>
      </c>
      <c r="C360" s="31" t="s">
        <v>283</v>
      </c>
      <c r="D360" s="31" t="s">
        <v>34</v>
      </c>
      <c r="E360" s="31" t="s">
        <v>4</v>
      </c>
      <c r="F360" s="83">
        <f>F361+F364</f>
        <v>0</v>
      </c>
      <c r="G360" s="83">
        <f>G361+G364</f>
        <v>0</v>
      </c>
      <c r="H360" s="258" t="e">
        <f t="shared" si="77"/>
        <v>#DIV/0!</v>
      </c>
      <c r="I360" s="124"/>
      <c r="J360" s="124"/>
      <c r="K360" s="124"/>
      <c r="L360" s="125"/>
      <c r="M360" s="125"/>
    </row>
    <row r="361" spans="1:13" s="45" customFormat="1" ht="31.5" hidden="1" x14ac:dyDescent="0.2">
      <c r="A361" s="81" t="s">
        <v>70</v>
      </c>
      <c r="B361" s="31" t="s">
        <v>8</v>
      </c>
      <c r="C361" s="31" t="s">
        <v>283</v>
      </c>
      <c r="D361" s="31" t="s">
        <v>35</v>
      </c>
      <c r="E361" s="31"/>
      <c r="F361" s="83">
        <f>F362</f>
        <v>0</v>
      </c>
      <c r="G361" s="83">
        <f>G362</f>
        <v>0</v>
      </c>
      <c r="H361" s="258" t="e">
        <f t="shared" si="77"/>
        <v>#DIV/0!</v>
      </c>
      <c r="I361" s="124"/>
      <c r="J361" s="124"/>
      <c r="K361" s="124"/>
      <c r="L361" s="125"/>
      <c r="M361" s="125"/>
    </row>
    <row r="362" spans="1:13" s="45" customFormat="1" ht="31.5" hidden="1" x14ac:dyDescent="0.2">
      <c r="A362" s="43" t="s">
        <v>25</v>
      </c>
      <c r="B362" s="31" t="s">
        <v>8</v>
      </c>
      <c r="C362" s="31" t="s">
        <v>283</v>
      </c>
      <c r="D362" s="31" t="s">
        <v>35</v>
      </c>
      <c r="E362" s="31" t="s">
        <v>36</v>
      </c>
      <c r="F362" s="83">
        <f>F363</f>
        <v>0</v>
      </c>
      <c r="G362" s="83">
        <f>G363</f>
        <v>0</v>
      </c>
      <c r="H362" s="258" t="e">
        <f t="shared" si="77"/>
        <v>#DIV/0!</v>
      </c>
      <c r="I362" s="124"/>
      <c r="J362" s="124"/>
      <c r="K362" s="124"/>
      <c r="L362" s="125"/>
      <c r="M362" s="125"/>
    </row>
    <row r="363" spans="1:13" s="45" customFormat="1" ht="31.5" hidden="1" x14ac:dyDescent="0.2">
      <c r="A363" s="43" t="s">
        <v>26</v>
      </c>
      <c r="B363" s="31" t="s">
        <v>8</v>
      </c>
      <c r="C363" s="31" t="s">
        <v>283</v>
      </c>
      <c r="D363" s="31" t="s">
        <v>35</v>
      </c>
      <c r="E363" s="31" t="s">
        <v>37</v>
      </c>
      <c r="F363" s="83"/>
      <c r="G363" s="83"/>
      <c r="H363" s="258" t="e">
        <f t="shared" si="77"/>
        <v>#DIV/0!</v>
      </c>
      <c r="I363" s="124"/>
      <c r="J363" s="124"/>
      <c r="K363" s="124"/>
      <c r="L363" s="125"/>
      <c r="M363" s="125"/>
    </row>
    <row r="364" spans="1:13" s="45" customFormat="1" ht="47.25" hidden="1" x14ac:dyDescent="0.2">
      <c r="A364" s="81" t="s">
        <v>169</v>
      </c>
      <c r="B364" s="31" t="s">
        <v>8</v>
      </c>
      <c r="C364" s="31" t="s">
        <v>283</v>
      </c>
      <c r="D364" s="31" t="s">
        <v>284</v>
      </c>
      <c r="E364" s="31"/>
      <c r="F364" s="83">
        <f>F365</f>
        <v>0</v>
      </c>
      <c r="G364" s="83">
        <f>G365</f>
        <v>0</v>
      </c>
      <c r="H364" s="258" t="e">
        <f t="shared" si="77"/>
        <v>#DIV/0!</v>
      </c>
      <c r="I364" s="124"/>
      <c r="J364" s="124"/>
      <c r="K364" s="124"/>
      <c r="L364" s="125"/>
      <c r="M364" s="125"/>
    </row>
    <row r="365" spans="1:13" s="45" customFormat="1" ht="31.5" hidden="1" x14ac:dyDescent="0.2">
      <c r="A365" s="43" t="s">
        <v>25</v>
      </c>
      <c r="B365" s="31" t="s">
        <v>8</v>
      </c>
      <c r="C365" s="31" t="s">
        <v>283</v>
      </c>
      <c r="D365" s="31" t="s">
        <v>284</v>
      </c>
      <c r="E365" s="31" t="s">
        <v>36</v>
      </c>
      <c r="F365" s="83">
        <f>F366</f>
        <v>0</v>
      </c>
      <c r="G365" s="83">
        <f>G366</f>
        <v>0</v>
      </c>
      <c r="H365" s="258" t="e">
        <f t="shared" si="77"/>
        <v>#DIV/0!</v>
      </c>
      <c r="I365" s="124"/>
      <c r="J365" s="124"/>
      <c r="K365" s="124"/>
      <c r="L365" s="125"/>
      <c r="M365" s="125"/>
    </row>
    <row r="366" spans="1:13" s="45" customFormat="1" ht="31.5" hidden="1" x14ac:dyDescent="0.2">
      <c r="A366" s="43" t="s">
        <v>26</v>
      </c>
      <c r="B366" s="31" t="s">
        <v>8</v>
      </c>
      <c r="C366" s="31" t="s">
        <v>283</v>
      </c>
      <c r="D366" s="31" t="s">
        <v>284</v>
      </c>
      <c r="E366" s="31" t="s">
        <v>37</v>
      </c>
      <c r="F366" s="83"/>
      <c r="G366" s="83"/>
      <c r="H366" s="258" t="e">
        <f t="shared" si="77"/>
        <v>#DIV/0!</v>
      </c>
      <c r="I366" s="124"/>
      <c r="J366" s="124"/>
      <c r="K366" s="124"/>
      <c r="L366" s="125"/>
      <c r="M366" s="125"/>
    </row>
    <row r="367" spans="1:13" s="28" customFormat="1" ht="34.9" customHeight="1" x14ac:dyDescent="0.2">
      <c r="A367" s="23" t="s">
        <v>285</v>
      </c>
      <c r="B367" s="15" t="s">
        <v>8</v>
      </c>
      <c r="C367" s="15" t="s">
        <v>283</v>
      </c>
      <c r="D367" s="15" t="s">
        <v>286</v>
      </c>
      <c r="E367" s="15"/>
      <c r="F367" s="25">
        <f t="shared" ref="F367:G371" si="79">F368</f>
        <v>1836.5</v>
      </c>
      <c r="G367" s="25">
        <f t="shared" si="79"/>
        <v>1836.5</v>
      </c>
      <c r="H367" s="258">
        <f t="shared" si="77"/>
        <v>1</v>
      </c>
      <c r="I367" s="124"/>
      <c r="J367" s="124"/>
      <c r="K367" s="124"/>
      <c r="L367" s="125"/>
      <c r="M367" s="125"/>
    </row>
    <row r="368" spans="1:13" s="45" customFormat="1" ht="34.15" customHeight="1" x14ac:dyDescent="0.2">
      <c r="A368" s="30" t="s">
        <v>287</v>
      </c>
      <c r="B368" s="31" t="s">
        <v>8</v>
      </c>
      <c r="C368" s="31" t="s">
        <v>283</v>
      </c>
      <c r="D368" s="31" t="s">
        <v>288</v>
      </c>
      <c r="E368" s="31"/>
      <c r="F368" s="29">
        <f t="shared" si="79"/>
        <v>1836.5</v>
      </c>
      <c r="G368" s="29">
        <f t="shared" si="79"/>
        <v>1836.5</v>
      </c>
      <c r="H368" s="258">
        <f t="shared" si="77"/>
        <v>1</v>
      </c>
      <c r="I368" s="124"/>
      <c r="J368" s="124"/>
      <c r="K368" s="124"/>
      <c r="L368" s="125"/>
      <c r="M368" s="125"/>
    </row>
    <row r="369" spans="1:13" s="5" customFormat="1" ht="46.9" customHeight="1" x14ac:dyDescent="0.2">
      <c r="A369" s="103" t="s">
        <v>289</v>
      </c>
      <c r="B369" s="31" t="s">
        <v>8</v>
      </c>
      <c r="C369" s="31" t="s">
        <v>283</v>
      </c>
      <c r="D369" s="31" t="s">
        <v>290</v>
      </c>
      <c r="E369" s="31"/>
      <c r="F369" s="29">
        <f t="shared" si="79"/>
        <v>1836.5</v>
      </c>
      <c r="G369" s="29">
        <f t="shared" si="79"/>
        <v>1836.5</v>
      </c>
      <c r="H369" s="258">
        <f t="shared" si="77"/>
        <v>1</v>
      </c>
      <c r="I369" s="124"/>
      <c r="J369" s="124"/>
      <c r="K369" s="124"/>
      <c r="L369" s="125"/>
      <c r="M369" s="125"/>
    </row>
    <row r="370" spans="1:13" s="5" customFormat="1" ht="34.15" customHeight="1" x14ac:dyDescent="0.2">
      <c r="A370" s="30" t="s">
        <v>291</v>
      </c>
      <c r="B370" s="31" t="s">
        <v>8</v>
      </c>
      <c r="C370" s="31" t="s">
        <v>283</v>
      </c>
      <c r="D370" s="31" t="s">
        <v>292</v>
      </c>
      <c r="E370" s="31"/>
      <c r="F370" s="29">
        <f t="shared" si="79"/>
        <v>1836.5</v>
      </c>
      <c r="G370" s="29">
        <f t="shared" si="79"/>
        <v>1836.5</v>
      </c>
      <c r="H370" s="258">
        <f t="shared" si="77"/>
        <v>1</v>
      </c>
      <c r="I370" s="124"/>
      <c r="J370" s="124"/>
      <c r="K370" s="124"/>
      <c r="L370" s="125"/>
      <c r="M370" s="125"/>
    </row>
    <row r="371" spans="1:13" s="45" customFormat="1" ht="31.5" x14ac:dyDescent="0.2">
      <c r="A371" s="43" t="s">
        <v>25</v>
      </c>
      <c r="B371" s="31" t="s">
        <v>8</v>
      </c>
      <c r="C371" s="31" t="s">
        <v>283</v>
      </c>
      <c r="D371" s="31" t="s">
        <v>292</v>
      </c>
      <c r="E371" s="32">
        <v>200</v>
      </c>
      <c r="F371" s="88">
        <f t="shared" si="79"/>
        <v>1836.5</v>
      </c>
      <c r="G371" s="88">
        <f t="shared" si="79"/>
        <v>1836.5</v>
      </c>
      <c r="H371" s="258">
        <f t="shared" si="77"/>
        <v>1</v>
      </c>
      <c r="I371" s="124"/>
      <c r="J371" s="124"/>
      <c r="K371" s="124"/>
      <c r="L371" s="125"/>
      <c r="M371" s="125"/>
    </row>
    <row r="372" spans="1:13" s="45" customFormat="1" ht="31.5" x14ac:dyDescent="0.2">
      <c r="A372" s="43" t="s">
        <v>26</v>
      </c>
      <c r="B372" s="31" t="s">
        <v>8</v>
      </c>
      <c r="C372" s="31" t="s">
        <v>283</v>
      </c>
      <c r="D372" s="31" t="s">
        <v>292</v>
      </c>
      <c r="E372" s="32">
        <v>240</v>
      </c>
      <c r="F372" s="88">
        <v>1836.5</v>
      </c>
      <c r="G372" s="88">
        <v>1836.5</v>
      </c>
      <c r="H372" s="258">
        <f t="shared" si="77"/>
        <v>1</v>
      </c>
      <c r="I372" s="124"/>
      <c r="J372" s="124"/>
      <c r="K372" s="124"/>
      <c r="L372" s="125"/>
      <c r="M372" s="125"/>
    </row>
    <row r="373" spans="1:13" s="126" customFormat="1" x14ac:dyDescent="0.2">
      <c r="A373" s="23" t="s">
        <v>293</v>
      </c>
      <c r="B373" s="15" t="s">
        <v>8</v>
      </c>
      <c r="C373" s="15" t="s">
        <v>283</v>
      </c>
      <c r="D373" s="15" t="s">
        <v>294</v>
      </c>
      <c r="E373" s="24"/>
      <c r="F373" s="25">
        <f>F374</f>
        <v>1989.5</v>
      </c>
      <c r="G373" s="25">
        <f>G374</f>
        <v>1153.9000000000001</v>
      </c>
      <c r="H373" s="258">
        <f t="shared" si="77"/>
        <v>0.57999497361146024</v>
      </c>
      <c r="I373" s="124"/>
      <c r="J373" s="124"/>
      <c r="K373" s="124"/>
      <c r="L373" s="125"/>
      <c r="M373" s="125"/>
    </row>
    <row r="374" spans="1:13" s="5" customFormat="1" x14ac:dyDescent="0.2">
      <c r="A374" s="30" t="s">
        <v>295</v>
      </c>
      <c r="B374" s="31" t="s">
        <v>8</v>
      </c>
      <c r="C374" s="31" t="s">
        <v>283</v>
      </c>
      <c r="D374" s="31" t="s">
        <v>296</v>
      </c>
      <c r="E374" s="32"/>
      <c r="F374" s="29">
        <f>F375+F378</f>
        <v>1989.5</v>
      </c>
      <c r="G374" s="29">
        <f>G375+G378</f>
        <v>1153.9000000000001</v>
      </c>
      <c r="H374" s="258">
        <f t="shared" si="77"/>
        <v>0.57999497361146024</v>
      </c>
      <c r="I374" s="124"/>
      <c r="J374" s="124"/>
      <c r="K374" s="124"/>
      <c r="L374" s="125"/>
      <c r="M374" s="125"/>
    </row>
    <row r="375" spans="1:13" s="5" customFormat="1" ht="78.75" x14ac:dyDescent="0.2">
      <c r="A375" s="30" t="s">
        <v>297</v>
      </c>
      <c r="B375" s="31" t="s">
        <v>8</v>
      </c>
      <c r="C375" s="31" t="s">
        <v>283</v>
      </c>
      <c r="D375" s="31" t="s">
        <v>298</v>
      </c>
      <c r="E375" s="32"/>
      <c r="F375" s="29">
        <f>F376</f>
        <v>1989.5</v>
      </c>
      <c r="G375" s="29">
        <f>G376</f>
        <v>1153.9000000000001</v>
      </c>
      <c r="H375" s="258">
        <f t="shared" si="77"/>
        <v>0.57999497361146024</v>
      </c>
      <c r="I375" s="124"/>
      <c r="J375" s="124"/>
      <c r="K375" s="124"/>
      <c r="L375" s="125"/>
      <c r="M375" s="125"/>
    </row>
    <row r="376" spans="1:13" s="5" customFormat="1" ht="31.5" x14ac:dyDescent="0.2">
      <c r="A376" s="43" t="s">
        <v>25</v>
      </c>
      <c r="B376" s="31" t="s">
        <v>8</v>
      </c>
      <c r="C376" s="31" t="s">
        <v>283</v>
      </c>
      <c r="D376" s="31" t="s">
        <v>298</v>
      </c>
      <c r="E376" s="32">
        <v>200</v>
      </c>
      <c r="F376" s="29">
        <f>F377</f>
        <v>1989.5</v>
      </c>
      <c r="G376" s="29">
        <f>G377</f>
        <v>1153.9000000000001</v>
      </c>
      <c r="H376" s="258">
        <f t="shared" si="77"/>
        <v>0.57999497361146024</v>
      </c>
      <c r="I376" s="124"/>
      <c r="J376" s="124"/>
      <c r="K376" s="124"/>
      <c r="L376" s="125"/>
      <c r="M376" s="125"/>
    </row>
    <row r="377" spans="1:13" s="5" customFormat="1" ht="31.5" x14ac:dyDescent="0.2">
      <c r="A377" s="43" t="s">
        <v>26</v>
      </c>
      <c r="B377" s="31" t="s">
        <v>8</v>
      </c>
      <c r="C377" s="31" t="s">
        <v>283</v>
      </c>
      <c r="D377" s="31" t="s">
        <v>298</v>
      </c>
      <c r="E377" s="32">
        <v>240</v>
      </c>
      <c r="F377" s="29">
        <f>1752+237.5</f>
        <v>1989.5</v>
      </c>
      <c r="G377" s="29">
        <v>1153.9000000000001</v>
      </c>
      <c r="H377" s="258">
        <f t="shared" si="77"/>
        <v>0.57999497361146024</v>
      </c>
      <c r="I377" s="124"/>
      <c r="J377" s="124"/>
      <c r="K377" s="124"/>
      <c r="L377" s="125"/>
      <c r="M377" s="125"/>
    </row>
    <row r="378" spans="1:13" s="5" customFormat="1" ht="51" hidden="1" customHeight="1" x14ac:dyDescent="0.2">
      <c r="A378" s="30" t="s">
        <v>299</v>
      </c>
      <c r="B378" s="31" t="s">
        <v>8</v>
      </c>
      <c r="C378" s="31" t="s">
        <v>283</v>
      </c>
      <c r="D378" s="31" t="s">
        <v>300</v>
      </c>
      <c r="E378" s="32"/>
      <c r="F378" s="29">
        <f>F379</f>
        <v>0</v>
      </c>
      <c r="G378" s="29">
        <f>G379</f>
        <v>0</v>
      </c>
      <c r="H378" s="258" t="e">
        <f t="shared" si="77"/>
        <v>#DIV/0!</v>
      </c>
      <c r="I378" s="124"/>
      <c r="J378" s="124"/>
      <c r="K378" s="124"/>
      <c r="L378" s="125"/>
      <c r="M378" s="125"/>
    </row>
    <row r="379" spans="1:13" s="5" customFormat="1" ht="31.5" hidden="1" x14ac:dyDescent="0.2">
      <c r="A379" s="43" t="s">
        <v>25</v>
      </c>
      <c r="B379" s="31" t="s">
        <v>8</v>
      </c>
      <c r="C379" s="31" t="s">
        <v>283</v>
      </c>
      <c r="D379" s="31" t="s">
        <v>300</v>
      </c>
      <c r="E379" s="32">
        <v>200</v>
      </c>
      <c r="F379" s="29">
        <f>F380</f>
        <v>0</v>
      </c>
      <c r="G379" s="29">
        <f>G380</f>
        <v>0</v>
      </c>
      <c r="H379" s="258" t="e">
        <f t="shared" si="77"/>
        <v>#DIV/0!</v>
      </c>
      <c r="I379" s="124"/>
      <c r="J379" s="124"/>
      <c r="K379" s="124"/>
      <c r="L379" s="125"/>
      <c r="M379" s="125"/>
    </row>
    <row r="380" spans="1:13" s="28" customFormat="1" ht="31.5" hidden="1" x14ac:dyDescent="0.2">
      <c r="A380" s="43" t="s">
        <v>26</v>
      </c>
      <c r="B380" s="31" t="s">
        <v>8</v>
      </c>
      <c r="C380" s="31" t="s">
        <v>283</v>
      </c>
      <c r="D380" s="31" t="s">
        <v>300</v>
      </c>
      <c r="E380" s="32">
        <v>240</v>
      </c>
      <c r="F380" s="29"/>
      <c r="G380" s="29"/>
      <c r="H380" s="258" t="e">
        <f t="shared" si="77"/>
        <v>#DIV/0!</v>
      </c>
      <c r="I380" s="124"/>
      <c r="J380" s="124"/>
      <c r="K380" s="124"/>
      <c r="L380" s="125"/>
      <c r="M380" s="125"/>
    </row>
    <row r="381" spans="1:13" s="91" customFormat="1" x14ac:dyDescent="0.2">
      <c r="A381" s="127" t="s">
        <v>197</v>
      </c>
      <c r="B381" s="53" t="s">
        <v>8</v>
      </c>
      <c r="C381" s="53" t="s">
        <v>283</v>
      </c>
      <c r="D381" s="53" t="s">
        <v>198</v>
      </c>
      <c r="E381" s="54"/>
      <c r="F381" s="48">
        <f>F382+F385</f>
        <v>220.9</v>
      </c>
      <c r="G381" s="48">
        <f>G382+G385</f>
        <v>220.9</v>
      </c>
      <c r="H381" s="258">
        <f t="shared" si="77"/>
        <v>1</v>
      </c>
      <c r="I381" s="124"/>
      <c r="J381" s="124"/>
      <c r="K381" s="124"/>
      <c r="L381" s="125"/>
      <c r="M381" s="125"/>
    </row>
    <row r="382" spans="1:13" s="130" customFormat="1" ht="47.25" x14ac:dyDescent="0.2">
      <c r="A382" s="67" t="s">
        <v>301</v>
      </c>
      <c r="B382" s="68" t="s">
        <v>8</v>
      </c>
      <c r="C382" s="68" t="s">
        <v>283</v>
      </c>
      <c r="D382" s="68" t="s">
        <v>302</v>
      </c>
      <c r="E382" s="128"/>
      <c r="F382" s="129">
        <f>F383</f>
        <v>100</v>
      </c>
      <c r="G382" s="129">
        <f>G383</f>
        <v>100</v>
      </c>
      <c r="H382" s="258">
        <f t="shared" si="77"/>
        <v>1</v>
      </c>
      <c r="I382" s="124"/>
      <c r="J382" s="124"/>
      <c r="K382" s="124"/>
      <c r="L382" s="125"/>
      <c r="M382" s="125"/>
    </row>
    <row r="383" spans="1:13" s="130" customFormat="1" ht="31.5" x14ac:dyDescent="0.2">
      <c r="A383" s="43" t="s">
        <v>25</v>
      </c>
      <c r="B383" s="58" t="s">
        <v>8</v>
      </c>
      <c r="C383" s="58" t="s">
        <v>283</v>
      </c>
      <c r="D383" s="58" t="s">
        <v>302</v>
      </c>
      <c r="E383" s="32">
        <v>200</v>
      </c>
      <c r="F383" s="129">
        <f>F384</f>
        <v>100</v>
      </c>
      <c r="G383" s="129">
        <f>G384</f>
        <v>100</v>
      </c>
      <c r="H383" s="258">
        <f t="shared" si="77"/>
        <v>1</v>
      </c>
      <c r="I383" s="124"/>
      <c r="J383" s="124"/>
      <c r="K383" s="124"/>
      <c r="L383" s="125"/>
      <c r="M383" s="125"/>
    </row>
    <row r="384" spans="1:13" s="130" customFormat="1" ht="31.5" x14ac:dyDescent="0.2">
      <c r="A384" s="43" t="s">
        <v>26</v>
      </c>
      <c r="B384" s="58" t="s">
        <v>8</v>
      </c>
      <c r="C384" s="58" t="s">
        <v>283</v>
      </c>
      <c r="D384" s="58" t="s">
        <v>302</v>
      </c>
      <c r="E384" s="32">
        <v>240</v>
      </c>
      <c r="F384" s="131">
        <v>100</v>
      </c>
      <c r="G384" s="131">
        <v>100</v>
      </c>
      <c r="H384" s="258">
        <f t="shared" si="77"/>
        <v>1</v>
      </c>
      <c r="I384" s="124"/>
      <c r="J384" s="124"/>
      <c r="K384" s="124"/>
      <c r="L384" s="125"/>
      <c r="M384" s="125"/>
    </row>
    <row r="385" spans="1:13" s="132" customFormat="1" ht="47.25" x14ac:dyDescent="0.2">
      <c r="A385" s="43" t="s">
        <v>303</v>
      </c>
      <c r="B385" s="58" t="s">
        <v>8</v>
      </c>
      <c r="C385" s="58" t="s">
        <v>283</v>
      </c>
      <c r="D385" s="31" t="s">
        <v>304</v>
      </c>
      <c r="E385" s="32"/>
      <c r="F385" s="131">
        <f t="shared" ref="F385:G387" si="80">F386</f>
        <v>120.9</v>
      </c>
      <c r="G385" s="131">
        <f t="shared" si="80"/>
        <v>120.9</v>
      </c>
      <c r="H385" s="258">
        <f t="shared" si="77"/>
        <v>1</v>
      </c>
      <c r="I385" s="124"/>
      <c r="J385" s="124"/>
      <c r="K385" s="124"/>
      <c r="L385" s="125"/>
      <c r="M385" s="125"/>
    </row>
    <row r="386" spans="1:13" s="44" customFormat="1" ht="78.75" x14ac:dyDescent="0.2">
      <c r="A386" s="133" t="s">
        <v>305</v>
      </c>
      <c r="B386" s="31" t="s">
        <v>8</v>
      </c>
      <c r="C386" s="31" t="s">
        <v>283</v>
      </c>
      <c r="D386" s="31" t="s">
        <v>306</v>
      </c>
      <c r="E386" s="32"/>
      <c r="F386" s="29">
        <f t="shared" si="80"/>
        <v>120.9</v>
      </c>
      <c r="G386" s="29">
        <f t="shared" si="80"/>
        <v>120.9</v>
      </c>
      <c r="H386" s="258">
        <f t="shared" si="77"/>
        <v>1</v>
      </c>
      <c r="I386" s="124"/>
      <c r="J386" s="124"/>
      <c r="K386" s="124"/>
      <c r="L386" s="125"/>
      <c r="M386" s="125"/>
    </row>
    <row r="387" spans="1:13" s="27" customFormat="1" ht="31.5" x14ac:dyDescent="0.2">
      <c r="A387" s="43" t="s">
        <v>25</v>
      </c>
      <c r="B387" s="31" t="s">
        <v>8</v>
      </c>
      <c r="C387" s="31" t="s">
        <v>283</v>
      </c>
      <c r="D387" s="31" t="s">
        <v>306</v>
      </c>
      <c r="E387" s="32">
        <v>200</v>
      </c>
      <c r="F387" s="29">
        <f t="shared" si="80"/>
        <v>120.9</v>
      </c>
      <c r="G387" s="29">
        <f t="shared" si="80"/>
        <v>120.9</v>
      </c>
      <c r="H387" s="258">
        <f t="shared" si="77"/>
        <v>1</v>
      </c>
      <c r="I387" s="124"/>
      <c r="J387" s="124"/>
      <c r="K387" s="124"/>
      <c r="L387" s="125"/>
      <c r="M387" s="125"/>
    </row>
    <row r="388" spans="1:13" s="27" customFormat="1" ht="31.5" x14ac:dyDescent="0.2">
      <c r="A388" s="43" t="s">
        <v>26</v>
      </c>
      <c r="B388" s="31" t="s">
        <v>8</v>
      </c>
      <c r="C388" s="31" t="s">
        <v>283</v>
      </c>
      <c r="D388" s="31" t="s">
        <v>306</v>
      </c>
      <c r="E388" s="32">
        <v>240</v>
      </c>
      <c r="F388" s="29">
        <v>120.9</v>
      </c>
      <c r="G388" s="29">
        <v>120.9</v>
      </c>
      <c r="H388" s="258">
        <f t="shared" si="77"/>
        <v>1</v>
      </c>
      <c r="I388" s="124"/>
      <c r="J388" s="124"/>
      <c r="K388" s="124"/>
      <c r="L388" s="125"/>
      <c r="M388" s="125"/>
    </row>
    <row r="389" spans="1:13" s="98" customFormat="1" x14ac:dyDescent="0.2">
      <c r="A389" s="33" t="s">
        <v>307</v>
      </c>
      <c r="B389" s="34" t="s">
        <v>8</v>
      </c>
      <c r="C389" s="34" t="s">
        <v>308</v>
      </c>
      <c r="D389" s="74"/>
      <c r="E389" s="134"/>
      <c r="F389" s="35">
        <f>F401+F422+F428+F442</f>
        <v>1369</v>
      </c>
      <c r="G389" s="35">
        <f>G401+G422+G428+G442</f>
        <v>205</v>
      </c>
      <c r="H389" s="258">
        <f t="shared" si="77"/>
        <v>0.14974433893352812</v>
      </c>
      <c r="I389" s="124"/>
      <c r="J389" s="124"/>
      <c r="K389" s="124"/>
      <c r="L389" s="125"/>
      <c r="M389" s="125"/>
    </row>
    <row r="390" spans="1:13" s="98" customFormat="1" hidden="1" x14ac:dyDescent="0.2">
      <c r="A390" s="33" t="s">
        <v>67</v>
      </c>
      <c r="B390" s="34" t="s">
        <v>8</v>
      </c>
      <c r="C390" s="34" t="s">
        <v>308</v>
      </c>
      <c r="D390" s="34" t="s">
        <v>32</v>
      </c>
      <c r="E390" s="41" t="s">
        <v>4</v>
      </c>
      <c r="F390" s="35">
        <f t="shared" ref="F390:G393" si="81">F391</f>
        <v>0</v>
      </c>
      <c r="G390" s="35">
        <f t="shared" si="81"/>
        <v>0</v>
      </c>
      <c r="H390" s="258" t="e">
        <f t="shared" si="77"/>
        <v>#DIV/0!</v>
      </c>
      <c r="I390" s="124"/>
      <c r="J390" s="124"/>
      <c r="K390" s="124"/>
      <c r="L390" s="125"/>
      <c r="M390" s="125"/>
    </row>
    <row r="391" spans="1:13" s="98" customFormat="1" hidden="1" x14ac:dyDescent="0.2">
      <c r="A391" s="30" t="s">
        <v>33</v>
      </c>
      <c r="B391" s="31" t="s">
        <v>8</v>
      </c>
      <c r="C391" s="31" t="s">
        <v>308</v>
      </c>
      <c r="D391" s="31" t="s">
        <v>34</v>
      </c>
      <c r="E391" s="24"/>
      <c r="F391" s="25">
        <f t="shared" si="81"/>
        <v>0</v>
      </c>
      <c r="G391" s="25">
        <f t="shared" si="81"/>
        <v>0</v>
      </c>
      <c r="H391" s="258" t="e">
        <f t="shared" si="77"/>
        <v>#DIV/0!</v>
      </c>
      <c r="I391" s="124"/>
      <c r="J391" s="124"/>
      <c r="K391" s="124"/>
      <c r="L391" s="125"/>
      <c r="M391" s="125"/>
    </row>
    <row r="392" spans="1:13" s="98" customFormat="1" ht="31.5" hidden="1" x14ac:dyDescent="0.2">
      <c r="A392" s="81" t="s">
        <v>154</v>
      </c>
      <c r="B392" s="31" t="s">
        <v>8</v>
      </c>
      <c r="C392" s="31" t="s">
        <v>308</v>
      </c>
      <c r="D392" s="31" t="s">
        <v>35</v>
      </c>
      <c r="E392" s="31" t="s">
        <v>4</v>
      </c>
      <c r="F392" s="83">
        <f t="shared" si="81"/>
        <v>0</v>
      </c>
      <c r="G392" s="83">
        <f t="shared" si="81"/>
        <v>0</v>
      </c>
      <c r="H392" s="258" t="e">
        <f t="shared" si="77"/>
        <v>#DIV/0!</v>
      </c>
      <c r="I392" s="124"/>
      <c r="J392" s="124"/>
      <c r="K392" s="124"/>
      <c r="L392" s="125"/>
      <c r="M392" s="125"/>
    </row>
    <row r="393" spans="1:13" s="98" customFormat="1" ht="31.5" hidden="1" x14ac:dyDescent="0.2">
      <c r="A393" s="43" t="s">
        <v>25</v>
      </c>
      <c r="B393" s="31" t="s">
        <v>8</v>
      </c>
      <c r="C393" s="31" t="s">
        <v>308</v>
      </c>
      <c r="D393" s="31" t="s">
        <v>35</v>
      </c>
      <c r="E393" s="31" t="s">
        <v>36</v>
      </c>
      <c r="F393" s="83">
        <f t="shared" si="81"/>
        <v>0</v>
      </c>
      <c r="G393" s="83">
        <f t="shared" si="81"/>
        <v>0</v>
      </c>
      <c r="H393" s="258" t="e">
        <f t="shared" si="77"/>
        <v>#DIV/0!</v>
      </c>
      <c r="I393" s="124"/>
      <c r="J393" s="124"/>
      <c r="K393" s="124"/>
      <c r="L393" s="125"/>
      <c r="M393" s="125"/>
    </row>
    <row r="394" spans="1:13" s="98" customFormat="1" ht="31.5" hidden="1" x14ac:dyDescent="0.2">
      <c r="A394" s="43" t="s">
        <v>26</v>
      </c>
      <c r="B394" s="31" t="s">
        <v>8</v>
      </c>
      <c r="C394" s="31" t="s">
        <v>308</v>
      </c>
      <c r="D394" s="31" t="s">
        <v>35</v>
      </c>
      <c r="E394" s="31" t="s">
        <v>37</v>
      </c>
      <c r="F394" s="83"/>
      <c r="G394" s="83"/>
      <c r="H394" s="258" t="e">
        <f t="shared" ref="H394:H457" si="82">G394/F394</f>
        <v>#DIV/0!</v>
      </c>
      <c r="I394" s="124"/>
      <c r="J394" s="124"/>
      <c r="K394" s="124"/>
      <c r="L394" s="125"/>
      <c r="M394" s="125"/>
    </row>
    <row r="395" spans="1:13" s="45" customFormat="1" ht="31.5" hidden="1" x14ac:dyDescent="0.2">
      <c r="A395" s="135" t="s">
        <v>309</v>
      </c>
      <c r="B395" s="34" t="s">
        <v>8</v>
      </c>
      <c r="C395" s="34" t="s">
        <v>308</v>
      </c>
      <c r="D395" s="34" t="s">
        <v>73</v>
      </c>
      <c r="E395" s="34"/>
      <c r="F395" s="136">
        <f t="shared" ref="F395:G399" si="83">F396</f>
        <v>0</v>
      </c>
      <c r="G395" s="136">
        <f t="shared" si="83"/>
        <v>0</v>
      </c>
      <c r="H395" s="258" t="e">
        <f t="shared" si="82"/>
        <v>#DIV/0!</v>
      </c>
      <c r="I395" s="124"/>
      <c r="J395" s="124"/>
      <c r="K395" s="124"/>
      <c r="L395" s="125"/>
      <c r="M395" s="125"/>
    </row>
    <row r="396" spans="1:13" s="98" customFormat="1" ht="31.5" hidden="1" x14ac:dyDescent="0.2">
      <c r="A396" s="43" t="s">
        <v>310</v>
      </c>
      <c r="B396" s="31" t="s">
        <v>8</v>
      </c>
      <c r="C396" s="31" t="s">
        <v>308</v>
      </c>
      <c r="D396" s="31" t="s">
        <v>311</v>
      </c>
      <c r="E396" s="31"/>
      <c r="F396" s="83">
        <f t="shared" si="83"/>
        <v>0</v>
      </c>
      <c r="G396" s="83">
        <f t="shared" si="83"/>
        <v>0</v>
      </c>
      <c r="H396" s="258" t="e">
        <f t="shared" si="82"/>
        <v>#DIV/0!</v>
      </c>
      <c r="I396" s="124"/>
      <c r="J396" s="124"/>
      <c r="K396" s="124"/>
      <c r="L396" s="125"/>
      <c r="M396" s="125"/>
    </row>
    <row r="397" spans="1:13" s="98" customFormat="1" ht="47.25" hidden="1" x14ac:dyDescent="0.2">
      <c r="A397" s="43" t="s">
        <v>312</v>
      </c>
      <c r="B397" s="31" t="s">
        <v>8</v>
      </c>
      <c r="C397" s="31" t="s">
        <v>308</v>
      </c>
      <c r="D397" s="31" t="s">
        <v>313</v>
      </c>
      <c r="E397" s="31"/>
      <c r="F397" s="83">
        <f t="shared" si="83"/>
        <v>0</v>
      </c>
      <c r="G397" s="83">
        <f t="shared" si="83"/>
        <v>0</v>
      </c>
      <c r="H397" s="258" t="e">
        <f t="shared" si="82"/>
        <v>#DIV/0!</v>
      </c>
      <c r="I397" s="124"/>
      <c r="J397" s="124"/>
      <c r="K397" s="124"/>
      <c r="L397" s="125"/>
      <c r="M397" s="125"/>
    </row>
    <row r="398" spans="1:13" s="98" customFormat="1" ht="31.5" hidden="1" x14ac:dyDescent="0.2">
      <c r="A398" s="43" t="s">
        <v>314</v>
      </c>
      <c r="B398" s="31" t="s">
        <v>8</v>
      </c>
      <c r="C398" s="31" t="s">
        <v>308</v>
      </c>
      <c r="D398" s="31" t="s">
        <v>315</v>
      </c>
      <c r="E398" s="31"/>
      <c r="F398" s="83">
        <f t="shared" si="83"/>
        <v>0</v>
      </c>
      <c r="G398" s="83">
        <f t="shared" si="83"/>
        <v>0</v>
      </c>
      <c r="H398" s="258" t="e">
        <f t="shared" si="82"/>
        <v>#DIV/0!</v>
      </c>
      <c r="I398" s="124"/>
      <c r="J398" s="124"/>
      <c r="K398" s="124"/>
      <c r="L398" s="125"/>
      <c r="M398" s="125"/>
    </row>
    <row r="399" spans="1:13" s="98" customFormat="1" ht="31.5" hidden="1" x14ac:dyDescent="0.2">
      <c r="A399" s="43" t="s">
        <v>150</v>
      </c>
      <c r="B399" s="31" t="s">
        <v>8</v>
      </c>
      <c r="C399" s="31" t="s">
        <v>308</v>
      </c>
      <c r="D399" s="31" t="s">
        <v>315</v>
      </c>
      <c r="E399" s="31" t="s">
        <v>151</v>
      </c>
      <c r="F399" s="83">
        <f t="shared" si="83"/>
        <v>0</v>
      </c>
      <c r="G399" s="83">
        <f t="shared" si="83"/>
        <v>0</v>
      </c>
      <c r="H399" s="258" t="e">
        <f t="shared" si="82"/>
        <v>#DIV/0!</v>
      </c>
      <c r="I399" s="124"/>
      <c r="J399" s="124"/>
      <c r="K399" s="124"/>
      <c r="L399" s="125"/>
      <c r="M399" s="125"/>
    </row>
    <row r="400" spans="1:13" s="98" customFormat="1" ht="34.15" hidden="1" customHeight="1" x14ac:dyDescent="0.2">
      <c r="A400" s="43" t="s">
        <v>165</v>
      </c>
      <c r="B400" s="31" t="s">
        <v>8</v>
      </c>
      <c r="C400" s="31" t="s">
        <v>308</v>
      </c>
      <c r="D400" s="31" t="s">
        <v>315</v>
      </c>
      <c r="E400" s="31" t="s">
        <v>166</v>
      </c>
      <c r="F400" s="83"/>
      <c r="G400" s="83"/>
      <c r="H400" s="258" t="e">
        <f t="shared" si="82"/>
        <v>#DIV/0!</v>
      </c>
      <c r="I400" s="124"/>
      <c r="J400" s="124"/>
      <c r="K400" s="124"/>
      <c r="L400" s="125"/>
      <c r="M400" s="125"/>
    </row>
    <row r="401" spans="1:13" s="45" customFormat="1" ht="63" x14ac:dyDescent="0.2">
      <c r="A401" s="90" t="s">
        <v>158</v>
      </c>
      <c r="B401" s="15" t="s">
        <v>8</v>
      </c>
      <c r="C401" s="15" t="s">
        <v>308</v>
      </c>
      <c r="D401" s="15" t="s">
        <v>60</v>
      </c>
      <c r="E401" s="15"/>
      <c r="F401" s="137">
        <f t="shared" ref="F401:G405" si="84">F402</f>
        <v>920</v>
      </c>
      <c r="G401" s="137">
        <f t="shared" si="84"/>
        <v>0</v>
      </c>
      <c r="H401" s="258">
        <f t="shared" si="82"/>
        <v>0</v>
      </c>
      <c r="I401" s="124"/>
      <c r="J401" s="124"/>
      <c r="K401" s="124"/>
      <c r="L401" s="125"/>
      <c r="M401" s="125"/>
    </row>
    <row r="402" spans="1:13" s="98" customFormat="1" ht="47.25" x14ac:dyDescent="0.2">
      <c r="A402" s="43" t="s">
        <v>316</v>
      </c>
      <c r="B402" s="31" t="s">
        <v>8</v>
      </c>
      <c r="C402" s="31" t="s">
        <v>308</v>
      </c>
      <c r="D402" s="31" t="s">
        <v>317</v>
      </c>
      <c r="E402" s="31"/>
      <c r="F402" s="83">
        <f t="shared" si="84"/>
        <v>920</v>
      </c>
      <c r="G402" s="83">
        <f t="shared" si="84"/>
        <v>0</v>
      </c>
      <c r="H402" s="258">
        <f t="shared" si="82"/>
        <v>0</v>
      </c>
      <c r="I402" s="124"/>
      <c r="J402" s="124"/>
      <c r="K402" s="124"/>
      <c r="L402" s="125"/>
      <c r="M402" s="125"/>
    </row>
    <row r="403" spans="1:13" s="98" customFormat="1" ht="63" x14ac:dyDescent="0.2">
      <c r="A403" s="43" t="s">
        <v>318</v>
      </c>
      <c r="B403" s="31" t="s">
        <v>8</v>
      </c>
      <c r="C403" s="31" t="s">
        <v>308</v>
      </c>
      <c r="D403" s="31" t="s">
        <v>319</v>
      </c>
      <c r="E403" s="31"/>
      <c r="F403" s="83">
        <f t="shared" si="84"/>
        <v>920</v>
      </c>
      <c r="G403" s="83">
        <f t="shared" si="84"/>
        <v>0</v>
      </c>
      <c r="H403" s="258">
        <f t="shared" si="82"/>
        <v>0</v>
      </c>
      <c r="I403" s="124"/>
      <c r="J403" s="124"/>
      <c r="K403" s="124"/>
      <c r="L403" s="125"/>
      <c r="M403" s="125"/>
    </row>
    <row r="404" spans="1:13" s="98" customFormat="1" ht="51" customHeight="1" x14ac:dyDescent="0.2">
      <c r="A404" s="43" t="s">
        <v>320</v>
      </c>
      <c r="B404" s="31" t="s">
        <v>8</v>
      </c>
      <c r="C404" s="31" t="s">
        <v>308</v>
      </c>
      <c r="D404" s="31" t="s">
        <v>321</v>
      </c>
      <c r="E404" s="31"/>
      <c r="F404" s="83">
        <f t="shared" si="84"/>
        <v>920</v>
      </c>
      <c r="G404" s="83">
        <f t="shared" si="84"/>
        <v>0</v>
      </c>
      <c r="H404" s="258">
        <f t="shared" si="82"/>
        <v>0</v>
      </c>
      <c r="I404" s="124"/>
      <c r="J404" s="124"/>
      <c r="K404" s="124"/>
      <c r="L404" s="125"/>
      <c r="M404" s="125"/>
    </row>
    <row r="405" spans="1:13" s="98" customFormat="1" x14ac:dyDescent="0.2">
      <c r="A405" s="43" t="s">
        <v>29</v>
      </c>
      <c r="B405" s="31" t="s">
        <v>8</v>
      </c>
      <c r="C405" s="31" t="s">
        <v>308</v>
      </c>
      <c r="D405" s="31" t="s">
        <v>321</v>
      </c>
      <c r="E405" s="31" t="s">
        <v>130</v>
      </c>
      <c r="F405" s="83">
        <f t="shared" si="84"/>
        <v>920</v>
      </c>
      <c r="G405" s="83">
        <f t="shared" si="84"/>
        <v>0</v>
      </c>
      <c r="H405" s="258">
        <f t="shared" si="82"/>
        <v>0</v>
      </c>
      <c r="I405" s="124"/>
      <c r="J405" s="124"/>
      <c r="K405" s="124"/>
      <c r="L405" s="125"/>
      <c r="M405" s="125"/>
    </row>
    <row r="406" spans="1:13" s="98" customFormat="1" ht="47.25" x14ac:dyDescent="0.2">
      <c r="A406" s="30" t="s">
        <v>233</v>
      </c>
      <c r="B406" s="31" t="s">
        <v>8</v>
      </c>
      <c r="C406" s="31" t="s">
        <v>308</v>
      </c>
      <c r="D406" s="31" t="s">
        <v>321</v>
      </c>
      <c r="E406" s="31" t="s">
        <v>196</v>
      </c>
      <c r="F406" s="83">
        <v>920</v>
      </c>
      <c r="G406" s="83">
        <v>0</v>
      </c>
      <c r="H406" s="258">
        <f t="shared" si="82"/>
        <v>0</v>
      </c>
      <c r="I406" s="124"/>
      <c r="J406" s="124"/>
      <c r="K406" s="124"/>
      <c r="L406" s="125"/>
      <c r="M406" s="125"/>
    </row>
    <row r="407" spans="1:13" s="45" customFormat="1" ht="31.5" hidden="1" x14ac:dyDescent="0.2">
      <c r="A407" s="23" t="s">
        <v>309</v>
      </c>
      <c r="B407" s="15" t="s">
        <v>8</v>
      </c>
      <c r="C407" s="15" t="s">
        <v>308</v>
      </c>
      <c r="D407" s="15" t="s">
        <v>73</v>
      </c>
      <c r="E407" s="15"/>
      <c r="F407" s="80">
        <f t="shared" ref="F407:G411" si="85">F408</f>
        <v>0</v>
      </c>
      <c r="G407" s="80">
        <f t="shared" si="85"/>
        <v>0</v>
      </c>
      <c r="H407" s="258" t="e">
        <f t="shared" si="82"/>
        <v>#DIV/0!</v>
      </c>
      <c r="I407" s="124"/>
      <c r="J407" s="124"/>
      <c r="K407" s="124"/>
      <c r="L407" s="125"/>
      <c r="M407" s="125"/>
    </row>
    <row r="408" spans="1:13" s="98" customFormat="1" ht="31.5" hidden="1" x14ac:dyDescent="0.2">
      <c r="A408" s="30" t="s">
        <v>322</v>
      </c>
      <c r="B408" s="31" t="s">
        <v>8</v>
      </c>
      <c r="C408" s="31" t="s">
        <v>308</v>
      </c>
      <c r="D408" s="31" t="s">
        <v>311</v>
      </c>
      <c r="E408" s="31"/>
      <c r="F408" s="83">
        <f t="shared" si="85"/>
        <v>0</v>
      </c>
      <c r="G408" s="83">
        <f t="shared" si="85"/>
        <v>0</v>
      </c>
      <c r="H408" s="258" t="e">
        <f t="shared" si="82"/>
        <v>#DIV/0!</v>
      </c>
      <c r="I408" s="124"/>
      <c r="J408" s="124"/>
      <c r="K408" s="124"/>
      <c r="L408" s="125"/>
      <c r="M408" s="125"/>
    </row>
    <row r="409" spans="1:13" s="98" customFormat="1" ht="47.25" hidden="1" x14ac:dyDescent="0.2">
      <c r="A409" s="30" t="s">
        <v>323</v>
      </c>
      <c r="B409" s="31" t="s">
        <v>8</v>
      </c>
      <c r="C409" s="31" t="s">
        <v>308</v>
      </c>
      <c r="D409" s="31" t="s">
        <v>313</v>
      </c>
      <c r="E409" s="31"/>
      <c r="F409" s="83">
        <f t="shared" si="85"/>
        <v>0</v>
      </c>
      <c r="G409" s="83">
        <f t="shared" si="85"/>
        <v>0</v>
      </c>
      <c r="H409" s="258" t="e">
        <f t="shared" si="82"/>
        <v>#DIV/0!</v>
      </c>
      <c r="I409" s="124"/>
      <c r="J409" s="124"/>
      <c r="K409" s="124"/>
      <c r="L409" s="125"/>
      <c r="M409" s="125"/>
    </row>
    <row r="410" spans="1:13" s="98" customFormat="1" ht="31.5" hidden="1" x14ac:dyDescent="0.2">
      <c r="A410" s="30" t="s">
        <v>314</v>
      </c>
      <c r="B410" s="31" t="s">
        <v>8</v>
      </c>
      <c r="C410" s="31" t="s">
        <v>308</v>
      </c>
      <c r="D410" s="31" t="s">
        <v>324</v>
      </c>
      <c r="E410" s="31"/>
      <c r="F410" s="83">
        <f t="shared" si="85"/>
        <v>0</v>
      </c>
      <c r="G410" s="83">
        <f t="shared" si="85"/>
        <v>0</v>
      </c>
      <c r="H410" s="258" t="e">
        <f t="shared" si="82"/>
        <v>#DIV/0!</v>
      </c>
      <c r="I410" s="124"/>
      <c r="J410" s="124"/>
      <c r="K410" s="124"/>
      <c r="L410" s="125"/>
      <c r="M410" s="125"/>
    </row>
    <row r="411" spans="1:13" s="98" customFormat="1" ht="47.25" hidden="1" x14ac:dyDescent="0.2">
      <c r="A411" s="30" t="s">
        <v>325</v>
      </c>
      <c r="B411" s="31" t="s">
        <v>8</v>
      </c>
      <c r="C411" s="31" t="s">
        <v>308</v>
      </c>
      <c r="D411" s="31" t="s">
        <v>324</v>
      </c>
      <c r="E411" s="31" t="s">
        <v>151</v>
      </c>
      <c r="F411" s="83">
        <f t="shared" si="85"/>
        <v>0</v>
      </c>
      <c r="G411" s="83">
        <f t="shared" si="85"/>
        <v>0</v>
      </c>
      <c r="H411" s="258" t="e">
        <f t="shared" si="82"/>
        <v>#DIV/0!</v>
      </c>
      <c r="I411" s="124"/>
      <c r="J411" s="124"/>
      <c r="K411" s="124"/>
      <c r="L411" s="125"/>
      <c r="M411" s="125"/>
    </row>
    <row r="412" spans="1:13" s="98" customFormat="1" ht="47.25" hidden="1" x14ac:dyDescent="0.2">
      <c r="A412" s="30" t="s">
        <v>165</v>
      </c>
      <c r="B412" s="31" t="s">
        <v>8</v>
      </c>
      <c r="C412" s="31" t="s">
        <v>308</v>
      </c>
      <c r="D412" s="31" t="s">
        <v>324</v>
      </c>
      <c r="E412" s="31" t="s">
        <v>166</v>
      </c>
      <c r="F412" s="83"/>
      <c r="G412" s="83"/>
      <c r="H412" s="258" t="e">
        <f t="shared" si="82"/>
        <v>#DIV/0!</v>
      </c>
      <c r="I412" s="124"/>
      <c r="J412" s="124"/>
      <c r="K412" s="124"/>
      <c r="L412" s="125"/>
      <c r="M412" s="125"/>
    </row>
    <row r="413" spans="1:13" s="102" customFormat="1" ht="47.25" hidden="1" x14ac:dyDescent="0.2">
      <c r="A413" s="138" t="s">
        <v>326</v>
      </c>
      <c r="B413" s="93" t="s">
        <v>8</v>
      </c>
      <c r="C413" s="93" t="s">
        <v>308</v>
      </c>
      <c r="D413" s="93" t="s">
        <v>103</v>
      </c>
      <c r="E413" s="93"/>
      <c r="F413" s="137">
        <f>F414</f>
        <v>0</v>
      </c>
      <c r="G413" s="137">
        <f>G414</f>
        <v>0</v>
      </c>
      <c r="H413" s="258" t="e">
        <f t="shared" si="82"/>
        <v>#DIV/0!</v>
      </c>
      <c r="I413" s="124"/>
      <c r="J413" s="124"/>
      <c r="K413" s="124"/>
      <c r="L413" s="125"/>
      <c r="M413" s="125"/>
    </row>
    <row r="414" spans="1:13" s="98" customFormat="1" ht="31.5" hidden="1" x14ac:dyDescent="0.2">
      <c r="A414" s="43" t="s">
        <v>327</v>
      </c>
      <c r="B414" s="31" t="s">
        <v>8</v>
      </c>
      <c r="C414" s="31" t="s">
        <v>308</v>
      </c>
      <c r="D414" s="31" t="s">
        <v>328</v>
      </c>
      <c r="E414" s="31"/>
      <c r="F414" s="83">
        <f>F415</f>
        <v>0</v>
      </c>
      <c r="G414" s="83">
        <f>G415</f>
        <v>0</v>
      </c>
      <c r="H414" s="258" t="e">
        <f t="shared" si="82"/>
        <v>#DIV/0!</v>
      </c>
      <c r="I414" s="124"/>
      <c r="J414" s="124"/>
      <c r="K414" s="124"/>
      <c r="L414" s="125"/>
      <c r="M414" s="125"/>
    </row>
    <row r="415" spans="1:13" s="98" customFormat="1" ht="47.25" hidden="1" x14ac:dyDescent="0.2">
      <c r="A415" s="43" t="s">
        <v>329</v>
      </c>
      <c r="B415" s="31" t="s">
        <v>8</v>
      </c>
      <c r="C415" s="31" t="s">
        <v>308</v>
      </c>
      <c r="D415" s="31" t="s">
        <v>330</v>
      </c>
      <c r="E415" s="31"/>
      <c r="F415" s="83">
        <f>F416+F419</f>
        <v>0</v>
      </c>
      <c r="G415" s="83">
        <f>G416+G419</f>
        <v>0</v>
      </c>
      <c r="H415" s="258" t="e">
        <f t="shared" si="82"/>
        <v>#DIV/0!</v>
      </c>
      <c r="I415" s="124"/>
      <c r="J415" s="124"/>
      <c r="K415" s="124"/>
      <c r="L415" s="125"/>
      <c r="M415" s="125"/>
    </row>
    <row r="416" spans="1:13" s="98" customFormat="1" ht="31.5" hidden="1" x14ac:dyDescent="0.2">
      <c r="A416" s="43" t="s">
        <v>331</v>
      </c>
      <c r="B416" s="31" t="s">
        <v>8</v>
      </c>
      <c r="C416" s="31" t="s">
        <v>308</v>
      </c>
      <c r="D416" s="31" t="s">
        <v>332</v>
      </c>
      <c r="E416" s="31"/>
      <c r="F416" s="83">
        <f>F417</f>
        <v>0</v>
      </c>
      <c r="G416" s="83">
        <f>G417</f>
        <v>0</v>
      </c>
      <c r="H416" s="258" t="e">
        <f t="shared" si="82"/>
        <v>#DIV/0!</v>
      </c>
      <c r="I416" s="124"/>
      <c r="J416" s="124"/>
      <c r="K416" s="124"/>
      <c r="L416" s="125"/>
      <c r="M416" s="125"/>
    </row>
    <row r="417" spans="1:13" s="98" customFormat="1" ht="31.5" hidden="1" x14ac:dyDescent="0.2">
      <c r="A417" s="43" t="s">
        <v>25</v>
      </c>
      <c r="B417" s="31" t="s">
        <v>8</v>
      </c>
      <c r="C417" s="31" t="s">
        <v>308</v>
      </c>
      <c r="D417" s="31" t="s">
        <v>332</v>
      </c>
      <c r="E417" s="31" t="s">
        <v>36</v>
      </c>
      <c r="F417" s="83">
        <f>F418</f>
        <v>0</v>
      </c>
      <c r="G417" s="83">
        <f>G418</f>
        <v>0</v>
      </c>
      <c r="H417" s="258" t="e">
        <f t="shared" si="82"/>
        <v>#DIV/0!</v>
      </c>
      <c r="I417" s="124"/>
      <c r="J417" s="124"/>
      <c r="K417" s="124"/>
      <c r="L417" s="125"/>
      <c r="M417" s="125"/>
    </row>
    <row r="418" spans="1:13" s="98" customFormat="1" ht="31.5" hidden="1" x14ac:dyDescent="0.2">
      <c r="A418" s="43" t="s">
        <v>26</v>
      </c>
      <c r="B418" s="31" t="s">
        <v>8</v>
      </c>
      <c r="C418" s="31" t="s">
        <v>308</v>
      </c>
      <c r="D418" s="31" t="s">
        <v>332</v>
      </c>
      <c r="E418" s="31" t="s">
        <v>37</v>
      </c>
      <c r="F418" s="83">
        <f>1520-1520</f>
        <v>0</v>
      </c>
      <c r="G418" s="83">
        <f>1520-1520</f>
        <v>0</v>
      </c>
      <c r="H418" s="258" t="e">
        <f t="shared" si="82"/>
        <v>#DIV/0!</v>
      </c>
      <c r="I418" s="124"/>
      <c r="J418" s="124"/>
      <c r="K418" s="124"/>
      <c r="L418" s="125"/>
      <c r="M418" s="125"/>
    </row>
    <row r="419" spans="1:13" s="98" customFormat="1" ht="47.25" hidden="1" x14ac:dyDescent="0.2">
      <c r="A419" s="43" t="s">
        <v>333</v>
      </c>
      <c r="B419" s="31" t="s">
        <v>8</v>
      </c>
      <c r="C419" s="31" t="s">
        <v>308</v>
      </c>
      <c r="D419" s="31" t="s">
        <v>334</v>
      </c>
      <c r="E419" s="31"/>
      <c r="F419" s="83">
        <f>F420</f>
        <v>0</v>
      </c>
      <c r="G419" s="83">
        <f>G420</f>
        <v>0</v>
      </c>
      <c r="H419" s="258" t="e">
        <f t="shared" si="82"/>
        <v>#DIV/0!</v>
      </c>
      <c r="I419" s="124"/>
      <c r="J419" s="124"/>
      <c r="K419" s="124"/>
      <c r="L419" s="125"/>
      <c r="M419" s="125"/>
    </row>
    <row r="420" spans="1:13" s="98" customFormat="1" ht="31.5" hidden="1" x14ac:dyDescent="0.2">
      <c r="A420" s="43" t="s">
        <v>25</v>
      </c>
      <c r="B420" s="31" t="s">
        <v>8</v>
      </c>
      <c r="C420" s="31" t="s">
        <v>308</v>
      </c>
      <c r="D420" s="31" t="s">
        <v>334</v>
      </c>
      <c r="E420" s="31" t="s">
        <v>36</v>
      </c>
      <c r="F420" s="83">
        <f>F421</f>
        <v>0</v>
      </c>
      <c r="G420" s="83">
        <f>G421</f>
        <v>0</v>
      </c>
      <c r="H420" s="258" t="e">
        <f t="shared" si="82"/>
        <v>#DIV/0!</v>
      </c>
      <c r="I420" s="124"/>
      <c r="J420" s="124"/>
      <c r="K420" s="124"/>
      <c r="L420" s="125"/>
      <c r="M420" s="125"/>
    </row>
    <row r="421" spans="1:13" s="98" customFormat="1" ht="31.5" hidden="1" x14ac:dyDescent="0.2">
      <c r="A421" s="43" t="s">
        <v>26</v>
      </c>
      <c r="B421" s="31" t="s">
        <v>8</v>
      </c>
      <c r="C421" s="31" t="s">
        <v>308</v>
      </c>
      <c r="D421" s="31" t="s">
        <v>334</v>
      </c>
      <c r="E421" s="31" t="s">
        <v>37</v>
      </c>
      <c r="F421" s="83">
        <f>228-228</f>
        <v>0</v>
      </c>
      <c r="G421" s="83">
        <f>228-228</f>
        <v>0</v>
      </c>
      <c r="H421" s="258" t="e">
        <f t="shared" si="82"/>
        <v>#DIV/0!</v>
      </c>
      <c r="I421" s="124"/>
      <c r="J421" s="124"/>
      <c r="K421" s="124"/>
      <c r="L421" s="125"/>
      <c r="M421" s="125"/>
    </row>
    <row r="422" spans="1:13" s="72" customFormat="1" ht="47.25" hidden="1" x14ac:dyDescent="0.2">
      <c r="A422" s="70" t="s">
        <v>248</v>
      </c>
      <c r="B422" s="53" t="s">
        <v>8</v>
      </c>
      <c r="C422" s="53" t="s">
        <v>308</v>
      </c>
      <c r="D422" s="53" t="s">
        <v>249</v>
      </c>
      <c r="E422" s="53"/>
      <c r="F422" s="65">
        <f t="shared" ref="F422:G426" si="86">F423</f>
        <v>0</v>
      </c>
      <c r="G422" s="65">
        <f t="shared" si="86"/>
        <v>0</v>
      </c>
      <c r="H422" s="258" t="e">
        <f t="shared" si="82"/>
        <v>#DIV/0!</v>
      </c>
      <c r="I422" s="124"/>
      <c r="J422" s="124"/>
      <c r="K422" s="124"/>
      <c r="L422" s="125"/>
      <c r="M422" s="125"/>
    </row>
    <row r="423" spans="1:13" s="91" customFormat="1" ht="31.5" hidden="1" x14ac:dyDescent="0.2">
      <c r="A423" s="57" t="s">
        <v>250</v>
      </c>
      <c r="B423" s="58" t="s">
        <v>8</v>
      </c>
      <c r="C423" s="58" t="s">
        <v>308</v>
      </c>
      <c r="D423" s="58" t="s">
        <v>251</v>
      </c>
      <c r="E423" s="58"/>
      <c r="F423" s="82">
        <f t="shared" si="86"/>
        <v>0</v>
      </c>
      <c r="G423" s="82">
        <f t="shared" si="86"/>
        <v>0</v>
      </c>
      <c r="H423" s="258" t="e">
        <f t="shared" si="82"/>
        <v>#DIV/0!</v>
      </c>
      <c r="I423" s="124"/>
      <c r="J423" s="124"/>
      <c r="K423" s="124"/>
      <c r="L423" s="125"/>
      <c r="M423" s="125"/>
    </row>
    <row r="424" spans="1:13" s="56" customFormat="1" ht="33" hidden="1" customHeight="1" x14ac:dyDescent="0.2">
      <c r="A424" s="57" t="s">
        <v>335</v>
      </c>
      <c r="B424" s="58" t="s">
        <v>8</v>
      </c>
      <c r="C424" s="58" t="s">
        <v>308</v>
      </c>
      <c r="D424" s="58" t="s">
        <v>336</v>
      </c>
      <c r="E424" s="58"/>
      <c r="F424" s="49">
        <f t="shared" si="86"/>
        <v>0</v>
      </c>
      <c r="G424" s="49">
        <f t="shared" si="86"/>
        <v>0</v>
      </c>
      <c r="H424" s="258" t="e">
        <f t="shared" si="82"/>
        <v>#DIV/0!</v>
      </c>
      <c r="I424" s="124"/>
      <c r="J424" s="124"/>
      <c r="K424" s="124"/>
      <c r="L424" s="125"/>
      <c r="M424" s="125"/>
    </row>
    <row r="425" spans="1:13" s="56" customFormat="1" ht="34.9" hidden="1" customHeight="1" x14ac:dyDescent="0.2">
      <c r="A425" s="57" t="s">
        <v>337</v>
      </c>
      <c r="B425" s="58" t="s">
        <v>8</v>
      </c>
      <c r="C425" s="58" t="s">
        <v>308</v>
      </c>
      <c r="D425" s="58" t="s">
        <v>338</v>
      </c>
      <c r="E425" s="58"/>
      <c r="F425" s="49">
        <f t="shared" si="86"/>
        <v>0</v>
      </c>
      <c r="G425" s="49">
        <f t="shared" si="86"/>
        <v>0</v>
      </c>
      <c r="H425" s="258" t="e">
        <f t="shared" si="82"/>
        <v>#DIV/0!</v>
      </c>
      <c r="I425" s="124"/>
      <c r="J425" s="124"/>
      <c r="K425" s="124"/>
      <c r="L425" s="125"/>
      <c r="M425" s="125"/>
    </row>
    <row r="426" spans="1:13" s="56" customFormat="1" ht="31.5" hidden="1" x14ac:dyDescent="0.2">
      <c r="A426" s="57" t="s">
        <v>25</v>
      </c>
      <c r="B426" s="58" t="s">
        <v>8</v>
      </c>
      <c r="C426" s="58" t="s">
        <v>308</v>
      </c>
      <c r="D426" s="58" t="s">
        <v>338</v>
      </c>
      <c r="E426" s="59">
        <v>200</v>
      </c>
      <c r="F426" s="49">
        <f t="shared" si="86"/>
        <v>0</v>
      </c>
      <c r="G426" s="49">
        <f t="shared" si="86"/>
        <v>0</v>
      </c>
      <c r="H426" s="258" t="e">
        <f t="shared" si="82"/>
        <v>#DIV/0!</v>
      </c>
      <c r="I426" s="124"/>
      <c r="J426" s="124"/>
      <c r="K426" s="124"/>
      <c r="L426" s="125"/>
      <c r="M426" s="125"/>
    </row>
    <row r="427" spans="1:13" s="56" customFormat="1" ht="31.5" hidden="1" x14ac:dyDescent="0.2">
      <c r="A427" s="57" t="s">
        <v>26</v>
      </c>
      <c r="B427" s="58" t="s">
        <v>8</v>
      </c>
      <c r="C427" s="58" t="s">
        <v>308</v>
      </c>
      <c r="D427" s="58" t="s">
        <v>338</v>
      </c>
      <c r="E427" s="59">
        <v>240</v>
      </c>
      <c r="F427" s="49">
        <v>0</v>
      </c>
      <c r="G427" s="49">
        <v>0</v>
      </c>
      <c r="H427" s="258" t="e">
        <f t="shared" si="82"/>
        <v>#DIV/0!</v>
      </c>
      <c r="I427" s="124"/>
      <c r="J427" s="124"/>
      <c r="K427" s="124"/>
      <c r="L427" s="125"/>
      <c r="M427" s="125"/>
    </row>
    <row r="428" spans="1:13" s="45" customFormat="1" ht="31.5" x14ac:dyDescent="0.2">
      <c r="A428" s="23" t="s">
        <v>339</v>
      </c>
      <c r="B428" s="15" t="s">
        <v>8</v>
      </c>
      <c r="C428" s="15" t="s">
        <v>308</v>
      </c>
      <c r="D428" s="15" t="s">
        <v>340</v>
      </c>
      <c r="E428" s="24"/>
      <c r="F428" s="25">
        <f>F429+F432+F435</f>
        <v>344</v>
      </c>
      <c r="G428" s="25">
        <f>G429+G432+G435</f>
        <v>189</v>
      </c>
      <c r="H428" s="258">
        <f t="shared" si="82"/>
        <v>0.54941860465116277</v>
      </c>
      <c r="I428" s="124"/>
      <c r="J428" s="124"/>
      <c r="K428" s="124"/>
      <c r="L428" s="125"/>
      <c r="M428" s="125"/>
    </row>
    <row r="429" spans="1:13" s="45" customFormat="1" x14ac:dyDescent="0.2">
      <c r="A429" s="30" t="s">
        <v>341</v>
      </c>
      <c r="B429" s="31" t="s">
        <v>8</v>
      </c>
      <c r="C429" s="31" t="s">
        <v>308</v>
      </c>
      <c r="D429" s="31" t="s">
        <v>342</v>
      </c>
      <c r="E429" s="32"/>
      <c r="F429" s="29">
        <f>F430</f>
        <v>70</v>
      </c>
      <c r="G429" s="29">
        <f>G430</f>
        <v>47.5</v>
      </c>
      <c r="H429" s="258">
        <f t="shared" si="82"/>
        <v>0.6785714285714286</v>
      </c>
      <c r="I429" s="124"/>
      <c r="J429" s="124"/>
      <c r="K429" s="124"/>
      <c r="L429" s="125"/>
      <c r="M429" s="125"/>
    </row>
    <row r="430" spans="1:13" s="45" customFormat="1" ht="31.5" x14ac:dyDescent="0.2">
      <c r="A430" s="43" t="s">
        <v>25</v>
      </c>
      <c r="B430" s="31" t="s">
        <v>8</v>
      </c>
      <c r="C430" s="31" t="s">
        <v>308</v>
      </c>
      <c r="D430" s="31" t="s">
        <v>342</v>
      </c>
      <c r="E430" s="32">
        <v>200</v>
      </c>
      <c r="F430" s="29">
        <f>F431</f>
        <v>70</v>
      </c>
      <c r="G430" s="29">
        <f>G431</f>
        <v>47.5</v>
      </c>
      <c r="H430" s="258">
        <f t="shared" si="82"/>
        <v>0.6785714285714286</v>
      </c>
      <c r="I430" s="124"/>
      <c r="J430" s="124"/>
      <c r="K430" s="124"/>
      <c r="L430" s="125"/>
      <c r="M430" s="125"/>
    </row>
    <row r="431" spans="1:13" s="45" customFormat="1" ht="31.5" x14ac:dyDescent="0.2">
      <c r="A431" s="43" t="s">
        <v>26</v>
      </c>
      <c r="B431" s="31" t="s">
        <v>8</v>
      </c>
      <c r="C431" s="31" t="s">
        <v>308</v>
      </c>
      <c r="D431" s="31" t="s">
        <v>342</v>
      </c>
      <c r="E431" s="32">
        <v>240</v>
      </c>
      <c r="F431" s="29">
        <v>70</v>
      </c>
      <c r="G431" s="29">
        <v>47.5</v>
      </c>
      <c r="H431" s="258">
        <f t="shared" si="82"/>
        <v>0.6785714285714286</v>
      </c>
      <c r="I431" s="124"/>
      <c r="J431" s="124"/>
      <c r="K431" s="124"/>
      <c r="L431" s="125"/>
      <c r="M431" s="125"/>
    </row>
    <row r="432" spans="1:13" s="45" customFormat="1" ht="31.5" x14ac:dyDescent="0.2">
      <c r="A432" s="30" t="s">
        <v>343</v>
      </c>
      <c r="B432" s="31" t="s">
        <v>8</v>
      </c>
      <c r="C432" s="31" t="s">
        <v>308</v>
      </c>
      <c r="D432" s="31" t="s">
        <v>344</v>
      </c>
      <c r="E432" s="32"/>
      <c r="F432" s="29">
        <f>F433</f>
        <v>274</v>
      </c>
      <c r="G432" s="29">
        <f>G433</f>
        <v>141.5</v>
      </c>
      <c r="H432" s="258">
        <f t="shared" si="82"/>
        <v>0.51642335766423353</v>
      </c>
      <c r="I432" s="124"/>
      <c r="J432" s="124"/>
      <c r="K432" s="124"/>
      <c r="L432" s="125"/>
      <c r="M432" s="125"/>
    </row>
    <row r="433" spans="1:13" s="45" customFormat="1" ht="31.5" x14ac:dyDescent="0.2">
      <c r="A433" s="43" t="s">
        <v>25</v>
      </c>
      <c r="B433" s="31" t="s">
        <v>8</v>
      </c>
      <c r="C433" s="31" t="s">
        <v>308</v>
      </c>
      <c r="D433" s="31" t="s">
        <v>344</v>
      </c>
      <c r="E433" s="32">
        <v>200</v>
      </c>
      <c r="F433" s="29">
        <f>F434</f>
        <v>274</v>
      </c>
      <c r="G433" s="29">
        <f>G434</f>
        <v>141.5</v>
      </c>
      <c r="H433" s="258">
        <f t="shared" si="82"/>
        <v>0.51642335766423353</v>
      </c>
      <c r="I433" s="124"/>
      <c r="J433" s="124"/>
      <c r="K433" s="124"/>
      <c r="L433" s="125"/>
      <c r="M433" s="125"/>
    </row>
    <row r="434" spans="1:13" s="45" customFormat="1" ht="31.5" x14ac:dyDescent="0.2">
      <c r="A434" s="43" t="s">
        <v>26</v>
      </c>
      <c r="B434" s="31" t="s">
        <v>8</v>
      </c>
      <c r="C434" s="31" t="s">
        <v>308</v>
      </c>
      <c r="D434" s="31" t="s">
        <v>344</v>
      </c>
      <c r="E434" s="32">
        <v>240</v>
      </c>
      <c r="F434" s="29">
        <v>274</v>
      </c>
      <c r="G434" s="29">
        <v>141.5</v>
      </c>
      <c r="H434" s="258">
        <f t="shared" si="82"/>
        <v>0.51642335766423353</v>
      </c>
      <c r="I434" s="124"/>
      <c r="J434" s="124"/>
      <c r="K434" s="124"/>
      <c r="L434" s="125"/>
      <c r="M434" s="125"/>
    </row>
    <row r="435" spans="1:13" s="44" customFormat="1" ht="31.5" hidden="1" x14ac:dyDescent="0.2">
      <c r="A435" s="30" t="s">
        <v>345</v>
      </c>
      <c r="B435" s="31" t="s">
        <v>8</v>
      </c>
      <c r="C435" s="31" t="s">
        <v>308</v>
      </c>
      <c r="D435" s="31" t="s">
        <v>346</v>
      </c>
      <c r="E435" s="32"/>
      <c r="F435" s="29">
        <f>F436+F439</f>
        <v>0</v>
      </c>
      <c r="G435" s="29">
        <f>G436+G439</f>
        <v>0</v>
      </c>
      <c r="H435" s="258" t="e">
        <f t="shared" si="82"/>
        <v>#DIV/0!</v>
      </c>
      <c r="I435" s="124"/>
      <c r="J435" s="124"/>
      <c r="K435" s="124"/>
      <c r="L435" s="125"/>
      <c r="M435" s="125"/>
    </row>
    <row r="436" spans="1:13" s="44" customFormat="1" ht="35.450000000000003" hidden="1" customHeight="1" x14ac:dyDescent="0.2">
      <c r="A436" s="30" t="s">
        <v>347</v>
      </c>
      <c r="B436" s="31" t="s">
        <v>8</v>
      </c>
      <c r="C436" s="31" t="s">
        <v>308</v>
      </c>
      <c r="D436" s="31" t="s">
        <v>348</v>
      </c>
      <c r="E436" s="32"/>
      <c r="F436" s="29">
        <f>F437</f>
        <v>0</v>
      </c>
      <c r="G436" s="29">
        <f>G437</f>
        <v>0</v>
      </c>
      <c r="H436" s="258" t="e">
        <f t="shared" si="82"/>
        <v>#DIV/0!</v>
      </c>
      <c r="I436" s="124"/>
      <c r="J436" s="124"/>
      <c r="K436" s="124"/>
      <c r="L436" s="125"/>
      <c r="M436" s="125"/>
    </row>
    <row r="437" spans="1:13" s="44" customFormat="1" ht="31.5" hidden="1" x14ac:dyDescent="0.2">
      <c r="A437" s="43" t="s">
        <v>25</v>
      </c>
      <c r="B437" s="31" t="s">
        <v>8</v>
      </c>
      <c r="C437" s="31" t="s">
        <v>308</v>
      </c>
      <c r="D437" s="31" t="s">
        <v>348</v>
      </c>
      <c r="E437" s="32">
        <v>200</v>
      </c>
      <c r="F437" s="29">
        <f>F438</f>
        <v>0</v>
      </c>
      <c r="G437" s="29">
        <f>G438</f>
        <v>0</v>
      </c>
      <c r="H437" s="258" t="e">
        <f t="shared" si="82"/>
        <v>#DIV/0!</v>
      </c>
      <c r="I437" s="124"/>
      <c r="J437" s="124"/>
      <c r="K437" s="124"/>
      <c r="L437" s="125"/>
      <c r="M437" s="125"/>
    </row>
    <row r="438" spans="1:13" s="44" customFormat="1" ht="31.5" hidden="1" x14ac:dyDescent="0.2">
      <c r="A438" s="43" t="s">
        <v>26</v>
      </c>
      <c r="B438" s="31" t="s">
        <v>8</v>
      </c>
      <c r="C438" s="31" t="s">
        <v>308</v>
      </c>
      <c r="D438" s="31" t="s">
        <v>348</v>
      </c>
      <c r="E438" s="32">
        <v>240</v>
      </c>
      <c r="F438" s="29">
        <v>0</v>
      </c>
      <c r="G438" s="29">
        <v>0</v>
      </c>
      <c r="H438" s="258" t="e">
        <f t="shared" si="82"/>
        <v>#DIV/0!</v>
      </c>
      <c r="I438" s="124"/>
      <c r="J438" s="124"/>
      <c r="K438" s="124"/>
      <c r="L438" s="125"/>
      <c r="M438" s="125"/>
    </row>
    <row r="439" spans="1:13" s="45" customFormat="1" ht="63" hidden="1" x14ac:dyDescent="0.2">
      <c r="A439" s="30" t="s">
        <v>349</v>
      </c>
      <c r="B439" s="31" t="s">
        <v>8</v>
      </c>
      <c r="C439" s="31" t="s">
        <v>308</v>
      </c>
      <c r="D439" s="31" t="s">
        <v>350</v>
      </c>
      <c r="E439" s="32"/>
      <c r="F439" s="29">
        <f>F440</f>
        <v>0</v>
      </c>
      <c r="G439" s="29">
        <f>G440</f>
        <v>0</v>
      </c>
      <c r="H439" s="258" t="e">
        <f t="shared" si="82"/>
        <v>#DIV/0!</v>
      </c>
      <c r="I439" s="124"/>
      <c r="J439" s="124"/>
      <c r="K439" s="124"/>
      <c r="L439" s="125"/>
      <c r="M439" s="125"/>
    </row>
    <row r="440" spans="1:13" s="45" customFormat="1" ht="31.5" hidden="1" x14ac:dyDescent="0.2">
      <c r="A440" s="43" t="s">
        <v>25</v>
      </c>
      <c r="B440" s="31" t="s">
        <v>8</v>
      </c>
      <c r="C440" s="31" t="s">
        <v>308</v>
      </c>
      <c r="D440" s="31" t="s">
        <v>350</v>
      </c>
      <c r="E440" s="32">
        <v>200</v>
      </c>
      <c r="F440" s="29">
        <f>F441</f>
        <v>0</v>
      </c>
      <c r="G440" s="29">
        <f>G441</f>
        <v>0</v>
      </c>
      <c r="H440" s="258" t="e">
        <f t="shared" si="82"/>
        <v>#DIV/0!</v>
      </c>
      <c r="I440" s="124"/>
      <c r="J440" s="124"/>
      <c r="K440" s="124"/>
      <c r="L440" s="125"/>
      <c r="M440" s="125"/>
    </row>
    <row r="441" spans="1:13" s="45" customFormat="1" ht="31.5" hidden="1" x14ac:dyDescent="0.2">
      <c r="A441" s="43" t="s">
        <v>26</v>
      </c>
      <c r="B441" s="31" t="s">
        <v>8</v>
      </c>
      <c r="C441" s="31" t="s">
        <v>308</v>
      </c>
      <c r="D441" s="31" t="s">
        <v>350</v>
      </c>
      <c r="E441" s="32">
        <v>240</v>
      </c>
      <c r="F441" s="29">
        <f>12-12</f>
        <v>0</v>
      </c>
      <c r="G441" s="29">
        <f>12-12</f>
        <v>0</v>
      </c>
      <c r="H441" s="258" t="e">
        <f t="shared" si="82"/>
        <v>#DIV/0!</v>
      </c>
      <c r="I441" s="124"/>
      <c r="J441" s="124"/>
      <c r="K441" s="124"/>
      <c r="L441" s="125"/>
      <c r="M441" s="125"/>
    </row>
    <row r="442" spans="1:13" s="28" customFormat="1" x14ac:dyDescent="0.2">
      <c r="A442" s="23" t="s">
        <v>197</v>
      </c>
      <c r="B442" s="15" t="s">
        <v>8</v>
      </c>
      <c r="C442" s="15" t="s">
        <v>308</v>
      </c>
      <c r="D442" s="15" t="s">
        <v>198</v>
      </c>
      <c r="E442" s="24"/>
      <c r="F442" s="25">
        <f>F443+F453+F460</f>
        <v>105</v>
      </c>
      <c r="G442" s="25">
        <f>G443+G453+G460</f>
        <v>16</v>
      </c>
      <c r="H442" s="258">
        <f t="shared" si="82"/>
        <v>0.15238095238095239</v>
      </c>
      <c r="I442" s="124"/>
      <c r="J442" s="124"/>
      <c r="K442" s="124"/>
      <c r="L442" s="125"/>
      <c r="M442" s="125"/>
    </row>
    <row r="443" spans="1:13" s="28" customFormat="1" ht="47.25" x14ac:dyDescent="0.2">
      <c r="A443" s="105" t="s">
        <v>351</v>
      </c>
      <c r="B443" s="40" t="s">
        <v>8</v>
      </c>
      <c r="C443" s="40" t="s">
        <v>308</v>
      </c>
      <c r="D443" s="40" t="s">
        <v>281</v>
      </c>
      <c r="E443" s="106"/>
      <c r="F443" s="42">
        <f>F445+F447+F449</f>
        <v>80</v>
      </c>
      <c r="G443" s="42">
        <f>G445+G447+G449</f>
        <v>0</v>
      </c>
      <c r="H443" s="258">
        <f t="shared" si="82"/>
        <v>0</v>
      </c>
      <c r="I443" s="124"/>
      <c r="J443" s="124"/>
      <c r="K443" s="124"/>
      <c r="L443" s="125"/>
      <c r="M443" s="125"/>
    </row>
    <row r="444" spans="1:13" s="116" customFormat="1" ht="48.75" hidden="1" customHeight="1" x14ac:dyDescent="0.2">
      <c r="A444" s="112" t="s">
        <v>352</v>
      </c>
      <c r="B444" s="31" t="s">
        <v>8</v>
      </c>
      <c r="C444" s="31" t="s">
        <v>308</v>
      </c>
      <c r="D444" s="100" t="s">
        <v>281</v>
      </c>
      <c r="E444" s="109"/>
      <c r="F444" s="110">
        <f>F447</f>
        <v>31.6</v>
      </c>
      <c r="G444" s="110">
        <f>G447</f>
        <v>0</v>
      </c>
      <c r="H444" s="258">
        <f t="shared" si="82"/>
        <v>0</v>
      </c>
      <c r="I444" s="124"/>
      <c r="J444" s="124"/>
      <c r="K444" s="124"/>
      <c r="L444" s="125"/>
      <c r="M444" s="125"/>
    </row>
    <row r="445" spans="1:13" s="116" customFormat="1" ht="31.5" hidden="1" x14ac:dyDescent="0.2">
      <c r="A445" s="139" t="s">
        <v>150</v>
      </c>
      <c r="B445" s="31" t="s">
        <v>8</v>
      </c>
      <c r="C445" s="31" t="s">
        <v>308</v>
      </c>
      <c r="D445" s="100" t="s">
        <v>281</v>
      </c>
      <c r="E445" s="140">
        <v>600</v>
      </c>
      <c r="F445" s="97">
        <f>F446</f>
        <v>0</v>
      </c>
      <c r="G445" s="97">
        <f>G446</f>
        <v>0</v>
      </c>
      <c r="H445" s="258" t="e">
        <f t="shared" si="82"/>
        <v>#DIV/0!</v>
      </c>
      <c r="I445" s="124"/>
      <c r="J445" s="124"/>
      <c r="K445" s="124"/>
      <c r="L445" s="125"/>
      <c r="M445" s="125"/>
    </row>
    <row r="446" spans="1:13" s="116" customFormat="1" hidden="1" x14ac:dyDescent="0.2">
      <c r="A446" s="139" t="s">
        <v>192</v>
      </c>
      <c r="B446" s="31" t="s">
        <v>8</v>
      </c>
      <c r="C446" s="31" t="s">
        <v>308</v>
      </c>
      <c r="D446" s="100" t="s">
        <v>281</v>
      </c>
      <c r="E446" s="140">
        <v>620</v>
      </c>
      <c r="F446" s="97">
        <f>30-30</f>
        <v>0</v>
      </c>
      <c r="G446" s="97">
        <f>30-30</f>
        <v>0</v>
      </c>
      <c r="H446" s="258" t="e">
        <f t="shared" si="82"/>
        <v>#DIV/0!</v>
      </c>
      <c r="I446" s="124"/>
      <c r="J446" s="124"/>
      <c r="K446" s="124"/>
      <c r="L446" s="125"/>
      <c r="M446" s="125"/>
    </row>
    <row r="447" spans="1:13" s="28" customFormat="1" x14ac:dyDescent="0.2">
      <c r="A447" s="43" t="s">
        <v>29</v>
      </c>
      <c r="B447" s="31" t="s">
        <v>8</v>
      </c>
      <c r="C447" s="31" t="s">
        <v>308</v>
      </c>
      <c r="D447" s="100" t="s">
        <v>281</v>
      </c>
      <c r="E447" s="141">
        <v>800</v>
      </c>
      <c r="F447" s="29">
        <f>F448</f>
        <v>31.6</v>
      </c>
      <c r="G447" s="29">
        <f>G448</f>
        <v>0</v>
      </c>
      <c r="H447" s="258">
        <f t="shared" si="82"/>
        <v>0</v>
      </c>
      <c r="I447" s="124"/>
      <c r="J447" s="124"/>
      <c r="K447" s="124"/>
      <c r="L447" s="125"/>
      <c r="M447" s="125"/>
    </row>
    <row r="448" spans="1:13" s="28" customFormat="1" ht="47.25" x14ac:dyDescent="0.2">
      <c r="A448" s="103" t="s">
        <v>233</v>
      </c>
      <c r="B448" s="31" t="s">
        <v>8</v>
      </c>
      <c r="C448" s="31" t="s">
        <v>308</v>
      </c>
      <c r="D448" s="100" t="s">
        <v>281</v>
      </c>
      <c r="E448" s="141">
        <v>810</v>
      </c>
      <c r="F448" s="29">
        <v>31.6</v>
      </c>
      <c r="G448" s="29">
        <v>0</v>
      </c>
      <c r="H448" s="258">
        <f t="shared" si="82"/>
        <v>0</v>
      </c>
      <c r="I448" s="124"/>
      <c r="J448" s="124"/>
      <c r="K448" s="124"/>
      <c r="L448" s="125"/>
      <c r="M448" s="125"/>
    </row>
    <row r="449" spans="1:13" s="28" customFormat="1" ht="63" x14ac:dyDescent="0.2">
      <c r="A449" s="103" t="s">
        <v>352</v>
      </c>
      <c r="B449" s="31" t="s">
        <v>8</v>
      </c>
      <c r="C449" s="31" t="s">
        <v>308</v>
      </c>
      <c r="D449" s="100" t="s">
        <v>353</v>
      </c>
      <c r="E449" s="141"/>
      <c r="F449" s="29">
        <f>F450</f>
        <v>48.4</v>
      </c>
      <c r="G449" s="29">
        <f>G450</f>
        <v>0</v>
      </c>
      <c r="H449" s="258">
        <f t="shared" si="82"/>
        <v>0</v>
      </c>
      <c r="I449" s="124"/>
      <c r="J449" s="124"/>
      <c r="K449" s="124"/>
      <c r="L449" s="125"/>
      <c r="M449" s="125"/>
    </row>
    <row r="450" spans="1:13" s="28" customFormat="1" x14ac:dyDescent="0.2">
      <c r="A450" s="43" t="s">
        <v>29</v>
      </c>
      <c r="B450" s="31" t="s">
        <v>8</v>
      </c>
      <c r="C450" s="31" t="s">
        <v>308</v>
      </c>
      <c r="D450" s="100" t="s">
        <v>353</v>
      </c>
      <c r="E450" s="141">
        <v>800</v>
      </c>
      <c r="F450" s="29">
        <f>F451</f>
        <v>48.4</v>
      </c>
      <c r="G450" s="29">
        <f>G451</f>
        <v>0</v>
      </c>
      <c r="H450" s="258">
        <f t="shared" si="82"/>
        <v>0</v>
      </c>
      <c r="I450" s="124"/>
      <c r="J450" s="124"/>
      <c r="K450" s="124"/>
      <c r="L450" s="125"/>
      <c r="M450" s="125"/>
    </row>
    <row r="451" spans="1:13" s="28" customFormat="1" ht="47.25" x14ac:dyDescent="0.2">
      <c r="A451" s="103" t="s">
        <v>233</v>
      </c>
      <c r="B451" s="31" t="s">
        <v>8</v>
      </c>
      <c r="C451" s="31" t="s">
        <v>308</v>
      </c>
      <c r="D451" s="100" t="s">
        <v>353</v>
      </c>
      <c r="E451" s="141">
        <v>810</v>
      </c>
      <c r="F451" s="29">
        <v>48.4</v>
      </c>
      <c r="G451" s="29">
        <v>0</v>
      </c>
      <c r="H451" s="258">
        <f t="shared" si="82"/>
        <v>0</v>
      </c>
      <c r="I451" s="124">
        <v>0</v>
      </c>
      <c r="J451" s="124"/>
      <c r="K451" s="124"/>
      <c r="L451" s="125"/>
      <c r="M451" s="125"/>
    </row>
    <row r="452" spans="1:13" s="28" customFormat="1" ht="31.5" x14ac:dyDescent="0.2">
      <c r="A452" s="90" t="s">
        <v>354</v>
      </c>
      <c r="B452" s="15" t="s">
        <v>8</v>
      </c>
      <c r="C452" s="15" t="s">
        <v>308</v>
      </c>
      <c r="D452" s="15" t="s">
        <v>355</v>
      </c>
      <c r="E452" s="24"/>
      <c r="F452" s="25">
        <f>F453</f>
        <v>25</v>
      </c>
      <c r="G452" s="25">
        <f>G453</f>
        <v>16</v>
      </c>
      <c r="H452" s="258">
        <f t="shared" si="82"/>
        <v>0.64</v>
      </c>
      <c r="I452" s="124"/>
      <c r="J452" s="124"/>
      <c r="K452" s="124"/>
      <c r="L452" s="125"/>
      <c r="M452" s="125"/>
    </row>
    <row r="453" spans="1:13" s="98" customFormat="1" ht="31.5" x14ac:dyDescent="0.2">
      <c r="A453" s="105" t="s">
        <v>354</v>
      </c>
      <c r="B453" s="40" t="s">
        <v>8</v>
      </c>
      <c r="C453" s="40" t="s">
        <v>308</v>
      </c>
      <c r="D453" s="40" t="s">
        <v>355</v>
      </c>
      <c r="E453" s="106"/>
      <c r="F453" s="42">
        <f>F454+F456</f>
        <v>25</v>
      </c>
      <c r="G453" s="42">
        <f>G454+G456</f>
        <v>16</v>
      </c>
      <c r="H453" s="258">
        <f t="shared" si="82"/>
        <v>0.64</v>
      </c>
      <c r="I453" s="124"/>
      <c r="J453" s="124"/>
      <c r="K453" s="124"/>
      <c r="L453" s="125"/>
      <c r="M453" s="125"/>
    </row>
    <row r="454" spans="1:13" s="98" customFormat="1" ht="31.5" x14ac:dyDescent="0.2">
      <c r="A454" s="57" t="s">
        <v>25</v>
      </c>
      <c r="B454" s="31" t="s">
        <v>8</v>
      </c>
      <c r="C454" s="31" t="s">
        <v>308</v>
      </c>
      <c r="D454" s="31" t="s">
        <v>355</v>
      </c>
      <c r="E454" s="106">
        <v>200</v>
      </c>
      <c r="F454" s="142">
        <f>F455</f>
        <v>9</v>
      </c>
      <c r="G454" s="142">
        <f>G455</f>
        <v>0</v>
      </c>
      <c r="H454" s="258">
        <f t="shared" si="82"/>
        <v>0</v>
      </c>
      <c r="I454" s="124"/>
      <c r="J454" s="124"/>
      <c r="K454" s="124"/>
      <c r="L454" s="125"/>
      <c r="M454" s="125"/>
    </row>
    <row r="455" spans="1:13" s="98" customFormat="1" ht="31.5" x14ac:dyDescent="0.2">
      <c r="A455" s="57" t="s">
        <v>26</v>
      </c>
      <c r="B455" s="31" t="s">
        <v>8</v>
      </c>
      <c r="C455" s="31" t="s">
        <v>308</v>
      </c>
      <c r="D455" s="31" t="s">
        <v>355</v>
      </c>
      <c r="E455" s="106">
        <v>240</v>
      </c>
      <c r="F455" s="142">
        <v>9</v>
      </c>
      <c r="G455" s="142">
        <v>0</v>
      </c>
      <c r="H455" s="258">
        <f t="shared" si="82"/>
        <v>0</v>
      </c>
      <c r="I455" s="124"/>
      <c r="J455" s="124"/>
      <c r="K455" s="124"/>
      <c r="L455" s="125"/>
      <c r="M455" s="125"/>
    </row>
    <row r="456" spans="1:13" s="98" customFormat="1" ht="31.5" x14ac:dyDescent="0.2">
      <c r="A456" s="30" t="s">
        <v>150</v>
      </c>
      <c r="B456" s="31" t="s">
        <v>8</v>
      </c>
      <c r="C456" s="31" t="s">
        <v>308</v>
      </c>
      <c r="D456" s="31" t="s">
        <v>355</v>
      </c>
      <c r="E456" s="32">
        <v>600</v>
      </c>
      <c r="F456" s="104">
        <f>F457</f>
        <v>16</v>
      </c>
      <c r="G456" s="104">
        <f>G457</f>
        <v>16</v>
      </c>
      <c r="H456" s="258">
        <f t="shared" si="82"/>
        <v>1</v>
      </c>
      <c r="I456" s="124"/>
      <c r="J456" s="124"/>
      <c r="K456" s="124"/>
      <c r="L456" s="125"/>
      <c r="M456" s="125"/>
    </row>
    <row r="457" spans="1:13" s="98" customFormat="1" x14ac:dyDescent="0.2">
      <c r="A457" s="30" t="s">
        <v>192</v>
      </c>
      <c r="B457" s="31" t="s">
        <v>8</v>
      </c>
      <c r="C457" s="31" t="s">
        <v>308</v>
      </c>
      <c r="D457" s="31" t="s">
        <v>355</v>
      </c>
      <c r="E457" s="32">
        <v>620</v>
      </c>
      <c r="F457" s="104">
        <f>56-40</f>
        <v>16</v>
      </c>
      <c r="G457" s="104">
        <f>56-40</f>
        <v>16</v>
      </c>
      <c r="H457" s="258">
        <f t="shared" si="82"/>
        <v>1</v>
      </c>
      <c r="I457" s="124"/>
      <c r="J457" s="124"/>
      <c r="K457" s="124"/>
      <c r="L457" s="125"/>
      <c r="M457" s="125"/>
    </row>
    <row r="458" spans="1:13" s="98" customFormat="1" hidden="1" x14ac:dyDescent="0.2">
      <c r="A458" s="30" t="s">
        <v>29</v>
      </c>
      <c r="B458" s="31" t="s">
        <v>8</v>
      </c>
      <c r="C458" s="31" t="s">
        <v>308</v>
      </c>
      <c r="D458" s="31" t="s">
        <v>355</v>
      </c>
      <c r="E458" s="32">
        <v>800</v>
      </c>
      <c r="F458" s="29">
        <f>F459</f>
        <v>0</v>
      </c>
      <c r="G458" s="29">
        <f>G459</f>
        <v>0</v>
      </c>
      <c r="H458" s="258" t="e">
        <f t="shared" ref="H458:H521" si="87">G458/F458</f>
        <v>#DIV/0!</v>
      </c>
      <c r="I458" s="124"/>
      <c r="J458" s="124"/>
      <c r="K458" s="124"/>
      <c r="L458" s="125"/>
      <c r="M458" s="125"/>
    </row>
    <row r="459" spans="1:13" s="98" customFormat="1" hidden="1" x14ac:dyDescent="0.2">
      <c r="A459" s="38" t="s">
        <v>50</v>
      </c>
      <c r="B459" s="31" t="s">
        <v>8</v>
      </c>
      <c r="C459" s="31" t="s">
        <v>308</v>
      </c>
      <c r="D459" s="31" t="s">
        <v>355</v>
      </c>
      <c r="E459" s="32">
        <v>870</v>
      </c>
      <c r="F459" s="29">
        <f>65-65</f>
        <v>0</v>
      </c>
      <c r="G459" s="29">
        <f>65-65</f>
        <v>0</v>
      </c>
      <c r="H459" s="258" t="e">
        <f t="shared" si="87"/>
        <v>#DIV/0!</v>
      </c>
      <c r="I459" s="124"/>
      <c r="J459" s="124"/>
      <c r="K459" s="124"/>
      <c r="L459" s="125"/>
      <c r="M459" s="125"/>
    </row>
    <row r="460" spans="1:13" s="116" customFormat="1" ht="47.25" hidden="1" x14ac:dyDescent="0.2">
      <c r="A460" s="117" t="s">
        <v>356</v>
      </c>
      <c r="B460" s="31" t="s">
        <v>8</v>
      </c>
      <c r="C460" s="31" t="s">
        <v>308</v>
      </c>
      <c r="D460" s="100" t="s">
        <v>213</v>
      </c>
      <c r="E460" s="94"/>
      <c r="F460" s="97">
        <f>F461</f>
        <v>0</v>
      </c>
      <c r="G460" s="97">
        <f>G461</f>
        <v>0</v>
      </c>
      <c r="H460" s="258" t="e">
        <f t="shared" si="87"/>
        <v>#DIV/0!</v>
      </c>
      <c r="I460" s="124"/>
      <c r="J460" s="124"/>
      <c r="K460" s="124"/>
      <c r="L460" s="125"/>
      <c r="M460" s="125"/>
    </row>
    <row r="461" spans="1:13" s="45" customFormat="1" ht="47.25" hidden="1" x14ac:dyDescent="0.2">
      <c r="A461" s="30" t="s">
        <v>325</v>
      </c>
      <c r="B461" s="31" t="s">
        <v>8</v>
      </c>
      <c r="C461" s="31" t="s">
        <v>308</v>
      </c>
      <c r="D461" s="31" t="s">
        <v>213</v>
      </c>
      <c r="E461" s="32">
        <v>600</v>
      </c>
      <c r="F461" s="29">
        <f>F462</f>
        <v>0</v>
      </c>
      <c r="G461" s="29">
        <f>G462</f>
        <v>0</v>
      </c>
      <c r="H461" s="258" t="e">
        <f t="shared" si="87"/>
        <v>#DIV/0!</v>
      </c>
      <c r="I461" s="124"/>
      <c r="J461" s="124"/>
      <c r="K461" s="124"/>
      <c r="L461" s="125"/>
      <c r="M461" s="125"/>
    </row>
    <row r="462" spans="1:13" s="45" customFormat="1" ht="39" hidden="1" customHeight="1" x14ac:dyDescent="0.2">
      <c r="A462" s="30" t="s">
        <v>165</v>
      </c>
      <c r="B462" s="31" t="s">
        <v>8</v>
      </c>
      <c r="C462" s="31" t="s">
        <v>308</v>
      </c>
      <c r="D462" s="31" t="s">
        <v>213</v>
      </c>
      <c r="E462" s="32">
        <v>630</v>
      </c>
      <c r="F462" s="29"/>
      <c r="G462" s="29"/>
      <c r="H462" s="258" t="e">
        <f t="shared" si="87"/>
        <v>#DIV/0!</v>
      </c>
      <c r="I462" s="124"/>
      <c r="J462" s="124"/>
      <c r="K462" s="124"/>
      <c r="L462" s="125"/>
      <c r="M462" s="125"/>
    </row>
    <row r="463" spans="1:13" s="98" customFormat="1" x14ac:dyDescent="0.2">
      <c r="A463" s="23" t="s">
        <v>357</v>
      </c>
      <c r="B463" s="15" t="s">
        <v>8</v>
      </c>
      <c r="C463" s="15" t="s">
        <v>358</v>
      </c>
      <c r="D463" s="15"/>
      <c r="E463" s="32"/>
      <c r="F463" s="25">
        <f>F464+F482+F555</f>
        <v>23863.200000000001</v>
      </c>
      <c r="G463" s="25">
        <f>G464+G482+G555</f>
        <v>12129</v>
      </c>
      <c r="H463" s="258">
        <f t="shared" si="87"/>
        <v>0.50827215126219449</v>
      </c>
      <c r="I463" s="124"/>
      <c r="J463" s="124"/>
      <c r="K463" s="124"/>
      <c r="L463" s="125"/>
      <c r="M463" s="125"/>
    </row>
    <row r="464" spans="1:13" s="113" customFormat="1" x14ac:dyDescent="0.2">
      <c r="A464" s="143" t="s">
        <v>359</v>
      </c>
      <c r="B464" s="144" t="s">
        <v>8</v>
      </c>
      <c r="C464" s="144" t="s">
        <v>360</v>
      </c>
      <c r="D464" s="144"/>
      <c r="E464" s="144"/>
      <c r="F464" s="145">
        <f>F465+F471+F477</f>
        <v>3800</v>
      </c>
      <c r="G464" s="145">
        <f>G465+G471+G477</f>
        <v>3800</v>
      </c>
      <c r="H464" s="258">
        <f t="shared" si="87"/>
        <v>1</v>
      </c>
      <c r="I464" s="124"/>
      <c r="J464" s="124"/>
      <c r="K464" s="124"/>
      <c r="L464" s="125"/>
      <c r="M464" s="125"/>
    </row>
    <row r="465" spans="1:13" s="113" customFormat="1" ht="47.25" hidden="1" x14ac:dyDescent="0.2">
      <c r="A465" s="146" t="s">
        <v>361</v>
      </c>
      <c r="B465" s="93" t="s">
        <v>8</v>
      </c>
      <c r="C465" s="93" t="s">
        <v>360</v>
      </c>
      <c r="D465" s="94" t="s">
        <v>103</v>
      </c>
      <c r="E465" s="94"/>
      <c r="F465" s="147">
        <f t="shared" ref="F465:G469" si="88">F466</f>
        <v>0</v>
      </c>
      <c r="G465" s="147">
        <f t="shared" si="88"/>
        <v>0</v>
      </c>
      <c r="H465" s="258" t="e">
        <f t="shared" si="87"/>
        <v>#DIV/0!</v>
      </c>
      <c r="I465" s="124"/>
      <c r="J465" s="124"/>
      <c r="K465" s="124"/>
      <c r="L465" s="125"/>
      <c r="M465" s="125"/>
    </row>
    <row r="466" spans="1:13" s="113" customFormat="1" ht="33.6" hidden="1" customHeight="1" x14ac:dyDescent="0.2">
      <c r="A466" s="148" t="s">
        <v>362</v>
      </c>
      <c r="B466" s="100" t="s">
        <v>8</v>
      </c>
      <c r="C466" s="100" t="s">
        <v>360</v>
      </c>
      <c r="D466" s="101" t="s">
        <v>363</v>
      </c>
      <c r="E466" s="101"/>
      <c r="F466" s="149">
        <f t="shared" si="88"/>
        <v>0</v>
      </c>
      <c r="G466" s="149">
        <f t="shared" si="88"/>
        <v>0</v>
      </c>
      <c r="H466" s="258" t="e">
        <f t="shared" si="87"/>
        <v>#DIV/0!</v>
      </c>
      <c r="I466" s="124"/>
      <c r="J466" s="124"/>
      <c r="K466" s="124"/>
      <c r="L466" s="125"/>
      <c r="M466" s="125"/>
    </row>
    <row r="467" spans="1:13" s="113" customFormat="1" ht="47.25" hidden="1" x14ac:dyDescent="0.2">
      <c r="A467" s="107" t="s">
        <v>364</v>
      </c>
      <c r="B467" s="108" t="s">
        <v>8</v>
      </c>
      <c r="C467" s="108" t="s">
        <v>360</v>
      </c>
      <c r="D467" s="101" t="s">
        <v>365</v>
      </c>
      <c r="E467" s="101"/>
      <c r="F467" s="149">
        <f t="shared" si="88"/>
        <v>0</v>
      </c>
      <c r="G467" s="149">
        <f t="shared" si="88"/>
        <v>0</v>
      </c>
      <c r="H467" s="258" t="e">
        <f t="shared" si="87"/>
        <v>#DIV/0!</v>
      </c>
      <c r="I467" s="124"/>
      <c r="J467" s="124"/>
      <c r="K467" s="124"/>
      <c r="L467" s="125"/>
      <c r="M467" s="125"/>
    </row>
    <row r="468" spans="1:13" s="113" customFormat="1" ht="31.5" hidden="1" customHeight="1" x14ac:dyDescent="0.2">
      <c r="A468" s="148" t="s">
        <v>366</v>
      </c>
      <c r="B468" s="108" t="s">
        <v>8</v>
      </c>
      <c r="C468" s="108" t="s">
        <v>360</v>
      </c>
      <c r="D468" s="101" t="s">
        <v>367</v>
      </c>
      <c r="E468" s="109"/>
      <c r="F468" s="150">
        <f t="shared" si="88"/>
        <v>0</v>
      </c>
      <c r="G468" s="150">
        <f t="shared" si="88"/>
        <v>0</v>
      </c>
      <c r="H468" s="258" t="e">
        <f t="shared" si="87"/>
        <v>#DIV/0!</v>
      </c>
      <c r="I468" s="124"/>
      <c r="J468" s="124"/>
      <c r="K468" s="124"/>
      <c r="L468" s="125"/>
      <c r="M468" s="125"/>
    </row>
    <row r="469" spans="1:13" s="98" customFormat="1" hidden="1" x14ac:dyDescent="0.2">
      <c r="A469" s="36" t="s">
        <v>29</v>
      </c>
      <c r="B469" s="31" t="s">
        <v>8</v>
      </c>
      <c r="C469" s="31" t="s">
        <v>360</v>
      </c>
      <c r="D469" s="32" t="s">
        <v>367</v>
      </c>
      <c r="E469" s="31" t="s">
        <v>130</v>
      </c>
      <c r="F469" s="88">
        <f t="shared" si="88"/>
        <v>0</v>
      </c>
      <c r="G469" s="88">
        <f t="shared" si="88"/>
        <v>0</v>
      </c>
      <c r="H469" s="258" t="e">
        <f t="shared" si="87"/>
        <v>#DIV/0!</v>
      </c>
      <c r="I469" s="124"/>
      <c r="J469" s="124"/>
      <c r="K469" s="124"/>
      <c r="L469" s="125"/>
      <c r="M469" s="125"/>
    </row>
    <row r="470" spans="1:13" s="98" customFormat="1" hidden="1" x14ac:dyDescent="0.2">
      <c r="A470" s="36" t="s">
        <v>50</v>
      </c>
      <c r="B470" s="31" t="s">
        <v>8</v>
      </c>
      <c r="C470" s="31" t="s">
        <v>360</v>
      </c>
      <c r="D470" s="32" t="s">
        <v>367</v>
      </c>
      <c r="E470" s="31" t="s">
        <v>277</v>
      </c>
      <c r="F470" s="88">
        <v>0</v>
      </c>
      <c r="G470" s="88">
        <v>0</v>
      </c>
      <c r="H470" s="258" t="e">
        <f t="shared" si="87"/>
        <v>#DIV/0!</v>
      </c>
      <c r="I470" s="124"/>
      <c r="J470" s="124"/>
      <c r="K470" s="124"/>
      <c r="L470" s="125"/>
      <c r="M470" s="125"/>
    </row>
    <row r="471" spans="1:13" s="45" customFormat="1" x14ac:dyDescent="0.2">
      <c r="A471" s="14" t="s">
        <v>368</v>
      </c>
      <c r="B471" s="15" t="s">
        <v>8</v>
      </c>
      <c r="C471" s="15" t="s">
        <v>360</v>
      </c>
      <c r="D471" s="24" t="s">
        <v>369</v>
      </c>
      <c r="E471" s="15"/>
      <c r="F471" s="151">
        <f t="shared" ref="F471:G474" si="89">F472</f>
        <v>9.5</v>
      </c>
      <c r="G471" s="151">
        <f t="shared" si="89"/>
        <v>9.5</v>
      </c>
      <c r="H471" s="258">
        <f t="shared" si="87"/>
        <v>1</v>
      </c>
      <c r="I471" s="124"/>
      <c r="J471" s="124"/>
      <c r="K471" s="124"/>
      <c r="L471" s="125"/>
      <c r="M471" s="125"/>
    </row>
    <row r="472" spans="1:13" s="98" customFormat="1" x14ac:dyDescent="0.2">
      <c r="A472" s="36" t="s">
        <v>370</v>
      </c>
      <c r="B472" s="31" t="s">
        <v>8</v>
      </c>
      <c r="C472" s="31" t="s">
        <v>360</v>
      </c>
      <c r="D472" s="32" t="s">
        <v>371</v>
      </c>
      <c r="E472" s="31"/>
      <c r="F472" s="88">
        <f t="shared" si="89"/>
        <v>9.5</v>
      </c>
      <c r="G472" s="88">
        <f t="shared" si="89"/>
        <v>9.5</v>
      </c>
      <c r="H472" s="258">
        <f t="shared" si="87"/>
        <v>1</v>
      </c>
      <c r="I472" s="124"/>
      <c r="J472" s="124"/>
      <c r="K472" s="124"/>
      <c r="L472" s="125"/>
      <c r="M472" s="125"/>
    </row>
    <row r="473" spans="1:13" s="98" customFormat="1" ht="63" x14ac:dyDescent="0.2">
      <c r="A473" s="36" t="s">
        <v>372</v>
      </c>
      <c r="B473" s="31" t="s">
        <v>8</v>
      </c>
      <c r="C473" s="31" t="s">
        <v>360</v>
      </c>
      <c r="D473" s="32" t="s">
        <v>373</v>
      </c>
      <c r="E473" s="31"/>
      <c r="F473" s="88">
        <f t="shared" si="89"/>
        <v>9.5</v>
      </c>
      <c r="G473" s="88">
        <f t="shared" si="89"/>
        <v>9.5</v>
      </c>
      <c r="H473" s="258">
        <f t="shared" si="87"/>
        <v>1</v>
      </c>
      <c r="I473" s="124"/>
      <c r="J473" s="124"/>
      <c r="K473" s="124"/>
      <c r="L473" s="125"/>
      <c r="M473" s="125"/>
    </row>
    <row r="474" spans="1:13" s="98" customFormat="1" ht="31.5" x14ac:dyDescent="0.2">
      <c r="A474" s="36" t="s">
        <v>374</v>
      </c>
      <c r="B474" s="31" t="s">
        <v>8</v>
      </c>
      <c r="C474" s="31" t="s">
        <v>360</v>
      </c>
      <c r="D474" s="32" t="s">
        <v>373</v>
      </c>
      <c r="E474" s="31" t="s">
        <v>375</v>
      </c>
      <c r="F474" s="88">
        <f t="shared" si="89"/>
        <v>9.5</v>
      </c>
      <c r="G474" s="88">
        <f t="shared" si="89"/>
        <v>9.5</v>
      </c>
      <c r="H474" s="258">
        <f t="shared" si="87"/>
        <v>1</v>
      </c>
      <c r="I474" s="124"/>
      <c r="J474" s="124"/>
      <c r="K474" s="124"/>
      <c r="L474" s="125"/>
      <c r="M474" s="125"/>
    </row>
    <row r="475" spans="1:13" s="98" customFormat="1" x14ac:dyDescent="0.2">
      <c r="A475" s="36" t="s">
        <v>376</v>
      </c>
      <c r="B475" s="31" t="s">
        <v>8</v>
      </c>
      <c r="C475" s="31" t="s">
        <v>360</v>
      </c>
      <c r="D475" s="32" t="s">
        <v>373</v>
      </c>
      <c r="E475" s="31" t="s">
        <v>377</v>
      </c>
      <c r="F475" s="88">
        <v>9.5</v>
      </c>
      <c r="G475" s="88">
        <v>9.5</v>
      </c>
      <c r="H475" s="258">
        <f t="shared" si="87"/>
        <v>1</v>
      </c>
      <c r="I475" s="124"/>
      <c r="J475" s="124"/>
      <c r="K475" s="124"/>
      <c r="L475" s="125"/>
      <c r="M475" s="125"/>
    </row>
    <row r="476" spans="1:13" s="98" customFormat="1" ht="63" x14ac:dyDescent="0.2">
      <c r="A476" s="85" t="s">
        <v>378</v>
      </c>
      <c r="B476" s="40" t="s">
        <v>8</v>
      </c>
      <c r="C476" s="40" t="s">
        <v>360</v>
      </c>
      <c r="D476" s="106" t="s">
        <v>373</v>
      </c>
      <c r="E476" s="40" t="s">
        <v>377</v>
      </c>
      <c r="F476" s="152">
        <v>9.5</v>
      </c>
      <c r="G476" s="152">
        <v>9.5</v>
      </c>
      <c r="H476" s="258">
        <f t="shared" si="87"/>
        <v>1</v>
      </c>
      <c r="I476" s="153"/>
      <c r="J476" s="153"/>
      <c r="K476" s="153"/>
      <c r="L476" s="113"/>
      <c r="M476" s="113"/>
    </row>
    <row r="477" spans="1:13" s="98" customFormat="1" ht="19.899999999999999" customHeight="1" x14ac:dyDescent="0.2">
      <c r="A477" s="23" t="s">
        <v>120</v>
      </c>
      <c r="B477" s="15" t="s">
        <v>8</v>
      </c>
      <c r="C477" s="15" t="s">
        <v>360</v>
      </c>
      <c r="D477" s="24" t="s">
        <v>121</v>
      </c>
      <c r="E477" s="15"/>
      <c r="F477" s="151">
        <f t="shared" ref="F477:G479" si="90">F478</f>
        <v>3790.5</v>
      </c>
      <c r="G477" s="151">
        <f t="shared" si="90"/>
        <v>3790.5</v>
      </c>
      <c r="H477" s="258">
        <f t="shared" si="87"/>
        <v>1</v>
      </c>
      <c r="I477" s="124"/>
      <c r="J477" s="124"/>
      <c r="K477" s="124"/>
      <c r="L477" s="125"/>
      <c r="M477" s="125"/>
    </row>
    <row r="478" spans="1:13" s="98" customFormat="1" ht="22.15" customHeight="1" x14ac:dyDescent="0.2">
      <c r="A478" s="36" t="s">
        <v>120</v>
      </c>
      <c r="B478" s="31" t="s">
        <v>8</v>
      </c>
      <c r="C478" s="31" t="s">
        <v>360</v>
      </c>
      <c r="D478" s="32" t="s">
        <v>379</v>
      </c>
      <c r="E478" s="31"/>
      <c r="F478" s="88">
        <f t="shared" si="90"/>
        <v>3790.5</v>
      </c>
      <c r="G478" s="88">
        <f t="shared" si="90"/>
        <v>3790.5</v>
      </c>
      <c r="H478" s="258">
        <f t="shared" si="87"/>
        <v>1</v>
      </c>
      <c r="I478" s="124"/>
      <c r="J478" s="124"/>
      <c r="K478" s="124"/>
      <c r="L478" s="125"/>
      <c r="M478" s="125"/>
    </row>
    <row r="479" spans="1:13" s="98" customFormat="1" ht="31.5" x14ac:dyDescent="0.2">
      <c r="A479" s="36" t="s">
        <v>374</v>
      </c>
      <c r="B479" s="31" t="s">
        <v>8</v>
      </c>
      <c r="C479" s="31" t="s">
        <v>360</v>
      </c>
      <c r="D479" s="32" t="s">
        <v>379</v>
      </c>
      <c r="E479" s="31" t="s">
        <v>375</v>
      </c>
      <c r="F479" s="88">
        <f t="shared" si="90"/>
        <v>3790.5</v>
      </c>
      <c r="G479" s="88">
        <f t="shared" si="90"/>
        <v>3790.5</v>
      </c>
      <c r="H479" s="258">
        <f t="shared" si="87"/>
        <v>1</v>
      </c>
      <c r="I479" s="124"/>
      <c r="J479" s="124"/>
      <c r="K479" s="124"/>
      <c r="L479" s="125"/>
      <c r="M479" s="125"/>
    </row>
    <row r="480" spans="1:13" s="98" customFormat="1" x14ac:dyDescent="0.2">
      <c r="A480" s="36" t="s">
        <v>376</v>
      </c>
      <c r="B480" s="31" t="s">
        <v>8</v>
      </c>
      <c r="C480" s="31" t="s">
        <v>360</v>
      </c>
      <c r="D480" s="32" t="s">
        <v>379</v>
      </c>
      <c r="E480" s="31" t="s">
        <v>377</v>
      </c>
      <c r="F480" s="88">
        <v>3790.5</v>
      </c>
      <c r="G480" s="88">
        <v>3790.5</v>
      </c>
      <c r="H480" s="258">
        <f t="shared" si="87"/>
        <v>1</v>
      </c>
      <c r="I480" s="124"/>
      <c r="J480" s="124"/>
      <c r="K480" s="124"/>
      <c r="L480" s="125"/>
      <c r="M480" s="125"/>
    </row>
    <row r="481" spans="1:13" s="98" customFormat="1" ht="63" x14ac:dyDescent="0.2">
      <c r="A481" s="85" t="s">
        <v>378</v>
      </c>
      <c r="B481" s="40" t="s">
        <v>8</v>
      </c>
      <c r="C481" s="40" t="s">
        <v>360</v>
      </c>
      <c r="D481" s="32" t="s">
        <v>379</v>
      </c>
      <c r="E481" s="40" t="s">
        <v>377</v>
      </c>
      <c r="F481" s="152">
        <v>3790.5</v>
      </c>
      <c r="G481" s="152">
        <v>3790.5</v>
      </c>
      <c r="H481" s="258">
        <f t="shared" si="87"/>
        <v>1</v>
      </c>
      <c r="I481" s="153"/>
      <c r="J481" s="153"/>
      <c r="K481" s="153"/>
      <c r="L481" s="113"/>
      <c r="M481" s="113"/>
    </row>
    <row r="482" spans="1:13" s="72" customFormat="1" x14ac:dyDescent="0.2">
      <c r="A482" s="154" t="s">
        <v>380</v>
      </c>
      <c r="B482" s="121" t="s">
        <v>8</v>
      </c>
      <c r="C482" s="121" t="s">
        <v>381</v>
      </c>
      <c r="D482" s="121"/>
      <c r="E482" s="122"/>
      <c r="F482" s="50">
        <f>F507+F513+F519+F540+0.1</f>
        <v>14428.9</v>
      </c>
      <c r="G482" s="50">
        <f>G507+G513+G519+G540-0.1</f>
        <v>4768.7</v>
      </c>
      <c r="H482" s="258">
        <f t="shared" si="87"/>
        <v>0.33049643423961633</v>
      </c>
      <c r="I482" s="124"/>
      <c r="J482" s="124"/>
      <c r="K482" s="124"/>
      <c r="L482" s="125"/>
      <c r="M482" s="125"/>
    </row>
    <row r="483" spans="1:13" s="72" customFormat="1" hidden="1" x14ac:dyDescent="0.2">
      <c r="A483" s="127" t="s">
        <v>67</v>
      </c>
      <c r="B483" s="53" t="s">
        <v>8</v>
      </c>
      <c r="C483" s="53" t="s">
        <v>381</v>
      </c>
      <c r="D483" s="53" t="s">
        <v>68</v>
      </c>
      <c r="E483" s="54" t="s">
        <v>4</v>
      </c>
      <c r="F483" s="48">
        <f>F484</f>
        <v>0</v>
      </c>
      <c r="G483" s="48">
        <f>G484</f>
        <v>0</v>
      </c>
      <c r="H483" s="258" t="e">
        <f t="shared" si="87"/>
        <v>#DIV/0!</v>
      </c>
      <c r="I483" s="124"/>
      <c r="J483" s="124"/>
      <c r="K483" s="124"/>
      <c r="L483" s="125"/>
      <c r="M483" s="125"/>
    </row>
    <row r="484" spans="1:13" s="72" customFormat="1" hidden="1" x14ac:dyDescent="0.2">
      <c r="A484" s="103" t="s">
        <v>33</v>
      </c>
      <c r="B484" s="58" t="s">
        <v>8</v>
      </c>
      <c r="C484" s="58" t="s">
        <v>381</v>
      </c>
      <c r="D484" s="58" t="s">
        <v>69</v>
      </c>
      <c r="E484" s="54"/>
      <c r="F484" s="49">
        <f>F485</f>
        <v>0</v>
      </c>
      <c r="G484" s="49">
        <f>G485</f>
        <v>0</v>
      </c>
      <c r="H484" s="258" t="e">
        <f t="shared" si="87"/>
        <v>#DIV/0!</v>
      </c>
      <c r="I484" s="124"/>
      <c r="J484" s="124"/>
      <c r="K484" s="124"/>
      <c r="L484" s="125"/>
      <c r="M484" s="125"/>
    </row>
    <row r="485" spans="1:13" s="72" customFormat="1" ht="47.25" hidden="1" x14ac:dyDescent="0.2">
      <c r="A485" s="155" t="s">
        <v>169</v>
      </c>
      <c r="B485" s="58" t="s">
        <v>8</v>
      </c>
      <c r="C485" s="58" t="s">
        <v>381</v>
      </c>
      <c r="D485" s="58" t="s">
        <v>170</v>
      </c>
      <c r="E485" s="58" t="s">
        <v>4</v>
      </c>
      <c r="F485" s="82">
        <f>F486+F488</f>
        <v>0</v>
      </c>
      <c r="G485" s="82">
        <f>G486+G488</f>
        <v>0</v>
      </c>
      <c r="H485" s="258" t="e">
        <f t="shared" si="87"/>
        <v>#DIV/0!</v>
      </c>
      <c r="I485" s="124"/>
      <c r="J485" s="124"/>
      <c r="K485" s="124"/>
      <c r="L485" s="125"/>
      <c r="M485" s="125"/>
    </row>
    <row r="486" spans="1:13" s="72" customFormat="1" ht="31.5" hidden="1" customHeight="1" x14ac:dyDescent="0.2">
      <c r="A486" s="57" t="s">
        <v>25</v>
      </c>
      <c r="B486" s="58" t="s">
        <v>8</v>
      </c>
      <c r="C486" s="58" t="s">
        <v>134</v>
      </c>
      <c r="D486" s="58" t="s">
        <v>71</v>
      </c>
      <c r="E486" s="58" t="s">
        <v>36</v>
      </c>
      <c r="F486" s="82">
        <f>F487</f>
        <v>0</v>
      </c>
      <c r="G486" s="82">
        <f>G487</f>
        <v>0</v>
      </c>
      <c r="H486" s="258" t="e">
        <f t="shared" si="87"/>
        <v>#DIV/0!</v>
      </c>
      <c r="I486" s="124"/>
      <c r="J486" s="124"/>
      <c r="K486" s="124"/>
      <c r="L486" s="125"/>
      <c r="M486" s="125"/>
    </row>
    <row r="487" spans="1:13" s="72" customFormat="1" ht="31.5" hidden="1" customHeight="1" x14ac:dyDescent="0.2">
      <c r="A487" s="57" t="s">
        <v>26</v>
      </c>
      <c r="B487" s="58" t="s">
        <v>8</v>
      </c>
      <c r="C487" s="58" t="s">
        <v>134</v>
      </c>
      <c r="D487" s="58" t="s">
        <v>71</v>
      </c>
      <c r="E487" s="58" t="s">
        <v>37</v>
      </c>
      <c r="F487" s="82"/>
      <c r="G487" s="82"/>
      <c r="H487" s="258" t="e">
        <f t="shared" si="87"/>
        <v>#DIV/0!</v>
      </c>
      <c r="I487" s="124"/>
      <c r="J487" s="124"/>
      <c r="K487" s="124"/>
      <c r="L487" s="125"/>
      <c r="M487" s="125"/>
    </row>
    <row r="488" spans="1:13" s="72" customFormat="1" ht="31.5" hidden="1" x14ac:dyDescent="0.2">
      <c r="A488" s="57" t="s">
        <v>25</v>
      </c>
      <c r="B488" s="58" t="s">
        <v>8</v>
      </c>
      <c r="C488" s="58" t="s">
        <v>381</v>
      </c>
      <c r="D488" s="58" t="s">
        <v>170</v>
      </c>
      <c r="E488" s="58" t="s">
        <v>36</v>
      </c>
      <c r="F488" s="82">
        <f>F489</f>
        <v>0</v>
      </c>
      <c r="G488" s="82">
        <f>G489</f>
        <v>0</v>
      </c>
      <c r="H488" s="258" t="e">
        <f t="shared" si="87"/>
        <v>#DIV/0!</v>
      </c>
      <c r="I488" s="124"/>
      <c r="J488" s="124"/>
      <c r="K488" s="124"/>
      <c r="L488" s="125"/>
      <c r="M488" s="125"/>
    </row>
    <row r="489" spans="1:13" s="72" customFormat="1" ht="31.5" hidden="1" x14ac:dyDescent="0.2">
      <c r="A489" s="57" t="s">
        <v>26</v>
      </c>
      <c r="B489" s="58" t="s">
        <v>8</v>
      </c>
      <c r="C489" s="58" t="s">
        <v>381</v>
      </c>
      <c r="D489" s="58" t="s">
        <v>170</v>
      </c>
      <c r="E489" s="58" t="s">
        <v>37</v>
      </c>
      <c r="F489" s="82"/>
      <c r="G489" s="82"/>
      <c r="H489" s="258" t="e">
        <f t="shared" si="87"/>
        <v>#DIV/0!</v>
      </c>
      <c r="I489" s="124"/>
      <c r="J489" s="124"/>
      <c r="K489" s="124"/>
      <c r="L489" s="125"/>
      <c r="M489" s="125"/>
    </row>
    <row r="490" spans="1:13" s="72" customFormat="1" ht="31.5" hidden="1" x14ac:dyDescent="0.2">
      <c r="A490" s="156" t="s">
        <v>382</v>
      </c>
      <c r="B490" s="53" t="s">
        <v>8</v>
      </c>
      <c r="C490" s="53" t="s">
        <v>381</v>
      </c>
      <c r="D490" s="53" t="s">
        <v>383</v>
      </c>
      <c r="E490" s="54"/>
      <c r="F490" s="48">
        <f t="shared" ref="F490:G494" si="91">F491</f>
        <v>0</v>
      </c>
      <c r="G490" s="48">
        <f t="shared" si="91"/>
        <v>0</v>
      </c>
      <c r="H490" s="258" t="e">
        <f t="shared" si="87"/>
        <v>#DIV/0!</v>
      </c>
      <c r="I490" s="124"/>
      <c r="J490" s="124"/>
      <c r="K490" s="124"/>
      <c r="L490" s="125"/>
      <c r="M490" s="125"/>
    </row>
    <row r="491" spans="1:13" s="72" customFormat="1" ht="47.25" hidden="1" x14ac:dyDescent="0.2">
      <c r="A491" s="157" t="s">
        <v>384</v>
      </c>
      <c r="B491" s="58" t="s">
        <v>8</v>
      </c>
      <c r="C491" s="58" t="s">
        <v>381</v>
      </c>
      <c r="D491" s="58" t="s">
        <v>385</v>
      </c>
      <c r="E491" s="59"/>
      <c r="F491" s="49">
        <f t="shared" si="91"/>
        <v>0</v>
      </c>
      <c r="G491" s="49">
        <f t="shared" si="91"/>
        <v>0</v>
      </c>
      <c r="H491" s="258" t="e">
        <f t="shared" si="87"/>
        <v>#DIV/0!</v>
      </c>
      <c r="I491" s="124"/>
      <c r="J491" s="124"/>
      <c r="K491" s="124"/>
      <c r="L491" s="125"/>
      <c r="M491" s="125"/>
    </row>
    <row r="492" spans="1:13" s="72" customFormat="1" ht="78.75" hidden="1" x14ac:dyDescent="0.2">
      <c r="A492" s="157" t="s">
        <v>386</v>
      </c>
      <c r="B492" s="58" t="s">
        <v>8</v>
      </c>
      <c r="C492" s="58" t="s">
        <v>381</v>
      </c>
      <c r="D492" s="58" t="s">
        <v>387</v>
      </c>
      <c r="E492" s="59"/>
      <c r="F492" s="49">
        <f t="shared" si="91"/>
        <v>0</v>
      </c>
      <c r="G492" s="49">
        <f t="shared" si="91"/>
        <v>0</v>
      </c>
      <c r="H492" s="258" t="e">
        <f t="shared" si="87"/>
        <v>#DIV/0!</v>
      </c>
      <c r="I492" s="124"/>
      <c r="J492" s="124"/>
      <c r="K492" s="124"/>
      <c r="L492" s="125"/>
      <c r="M492" s="125"/>
    </row>
    <row r="493" spans="1:13" s="60" customFormat="1" ht="63" hidden="1" x14ac:dyDescent="0.2">
      <c r="A493" s="157" t="s">
        <v>388</v>
      </c>
      <c r="B493" s="58" t="s">
        <v>8</v>
      </c>
      <c r="C493" s="58" t="s">
        <v>381</v>
      </c>
      <c r="D493" s="58" t="s">
        <v>389</v>
      </c>
      <c r="E493" s="59"/>
      <c r="F493" s="49">
        <f t="shared" si="91"/>
        <v>0</v>
      </c>
      <c r="G493" s="49">
        <f t="shared" si="91"/>
        <v>0</v>
      </c>
      <c r="H493" s="258" t="e">
        <f t="shared" si="87"/>
        <v>#DIV/0!</v>
      </c>
      <c r="I493" s="124"/>
      <c r="J493" s="124"/>
      <c r="K493" s="124"/>
      <c r="L493" s="125"/>
      <c r="M493" s="125"/>
    </row>
    <row r="494" spans="1:13" s="72" customFormat="1" ht="31.5" hidden="1" x14ac:dyDescent="0.2">
      <c r="A494" s="157" t="s">
        <v>374</v>
      </c>
      <c r="B494" s="58" t="s">
        <v>8</v>
      </c>
      <c r="C494" s="58" t="s">
        <v>381</v>
      </c>
      <c r="D494" s="58" t="s">
        <v>389</v>
      </c>
      <c r="E494" s="59">
        <v>400</v>
      </c>
      <c r="F494" s="49">
        <f t="shared" si="91"/>
        <v>0</v>
      </c>
      <c r="G494" s="49">
        <f t="shared" si="91"/>
        <v>0</v>
      </c>
      <c r="H494" s="258" t="e">
        <f t="shared" si="87"/>
        <v>#DIV/0!</v>
      </c>
      <c r="I494" s="124"/>
      <c r="J494" s="124"/>
      <c r="K494" s="124"/>
      <c r="L494" s="125"/>
      <c r="M494" s="125"/>
    </row>
    <row r="495" spans="1:13" s="72" customFormat="1" hidden="1" x14ac:dyDescent="0.2">
      <c r="A495" s="157" t="s">
        <v>376</v>
      </c>
      <c r="B495" s="58" t="s">
        <v>8</v>
      </c>
      <c r="C495" s="58" t="s">
        <v>381</v>
      </c>
      <c r="D495" s="58" t="s">
        <v>389</v>
      </c>
      <c r="E495" s="59">
        <v>410</v>
      </c>
      <c r="F495" s="49"/>
      <c r="G495" s="49"/>
      <c r="H495" s="258" t="e">
        <f t="shared" si="87"/>
        <v>#DIV/0!</v>
      </c>
      <c r="I495" s="124"/>
      <c r="J495" s="124"/>
      <c r="K495" s="124"/>
      <c r="L495" s="125"/>
      <c r="M495" s="125"/>
    </row>
    <row r="496" spans="1:13" s="72" customFormat="1" ht="30" hidden="1" x14ac:dyDescent="0.2">
      <c r="A496" s="158" t="s">
        <v>390</v>
      </c>
      <c r="B496" s="159" t="s">
        <v>8</v>
      </c>
      <c r="C496" s="159" t="s">
        <v>381</v>
      </c>
      <c r="D496" s="159" t="s">
        <v>389</v>
      </c>
      <c r="E496" s="160">
        <v>410</v>
      </c>
      <c r="F496" s="161"/>
      <c r="G496" s="161"/>
      <c r="H496" s="258" t="e">
        <f t="shared" si="87"/>
        <v>#DIV/0!</v>
      </c>
      <c r="I496" s="124"/>
      <c r="J496" s="124"/>
      <c r="K496" s="124"/>
      <c r="L496" s="125"/>
      <c r="M496" s="125"/>
    </row>
    <row r="497" spans="1:13" s="60" customFormat="1" ht="47.25" hidden="1" x14ac:dyDescent="0.2">
      <c r="A497" s="64" t="s">
        <v>391</v>
      </c>
      <c r="B497" s="53" t="s">
        <v>8</v>
      </c>
      <c r="C497" s="53" t="s">
        <v>381</v>
      </c>
      <c r="D497" s="53" t="s">
        <v>392</v>
      </c>
      <c r="E497" s="53"/>
      <c r="F497" s="65">
        <f t="shared" ref="F497:G501" si="92">F498</f>
        <v>0</v>
      </c>
      <c r="G497" s="65">
        <f t="shared" si="92"/>
        <v>0</v>
      </c>
      <c r="H497" s="258" t="e">
        <f t="shared" si="87"/>
        <v>#DIV/0!</v>
      </c>
      <c r="I497" s="124"/>
      <c r="J497" s="124"/>
      <c r="K497" s="124"/>
      <c r="L497" s="125"/>
      <c r="M497" s="125"/>
    </row>
    <row r="498" spans="1:13" s="56" customFormat="1" ht="31.5" hidden="1" x14ac:dyDescent="0.2">
      <c r="A498" s="63" t="s">
        <v>393</v>
      </c>
      <c r="B498" s="58" t="s">
        <v>8</v>
      </c>
      <c r="C498" s="58" t="s">
        <v>381</v>
      </c>
      <c r="D498" s="58" t="s">
        <v>394</v>
      </c>
      <c r="E498" s="58"/>
      <c r="F498" s="82">
        <f t="shared" si="92"/>
        <v>0</v>
      </c>
      <c r="G498" s="82">
        <f t="shared" si="92"/>
        <v>0</v>
      </c>
      <c r="H498" s="258" t="e">
        <f t="shared" si="87"/>
        <v>#DIV/0!</v>
      </c>
      <c r="I498" s="124"/>
      <c r="J498" s="124"/>
      <c r="K498" s="124"/>
      <c r="L498" s="125"/>
      <c r="M498" s="125"/>
    </row>
    <row r="499" spans="1:13" s="56" customFormat="1" ht="47.25" hidden="1" x14ac:dyDescent="0.2">
      <c r="A499" s="63" t="s">
        <v>395</v>
      </c>
      <c r="B499" s="58" t="s">
        <v>8</v>
      </c>
      <c r="C499" s="58" t="s">
        <v>381</v>
      </c>
      <c r="D499" s="58" t="s">
        <v>396</v>
      </c>
      <c r="E499" s="58"/>
      <c r="F499" s="82">
        <f t="shared" si="92"/>
        <v>0</v>
      </c>
      <c r="G499" s="82">
        <f t="shared" si="92"/>
        <v>0</v>
      </c>
      <c r="H499" s="258" t="e">
        <f t="shared" si="87"/>
        <v>#DIV/0!</v>
      </c>
      <c r="I499" s="124"/>
      <c r="J499" s="124"/>
      <c r="K499" s="124"/>
      <c r="L499" s="125"/>
      <c r="M499" s="125"/>
    </row>
    <row r="500" spans="1:13" s="56" customFormat="1" ht="63" hidden="1" x14ac:dyDescent="0.2">
      <c r="A500" s="63" t="s">
        <v>397</v>
      </c>
      <c r="B500" s="58" t="s">
        <v>8</v>
      </c>
      <c r="C500" s="58" t="s">
        <v>381</v>
      </c>
      <c r="D500" s="58" t="s">
        <v>398</v>
      </c>
      <c r="E500" s="58"/>
      <c r="F500" s="82">
        <f t="shared" si="92"/>
        <v>0</v>
      </c>
      <c r="G500" s="82">
        <f t="shared" si="92"/>
        <v>0</v>
      </c>
      <c r="H500" s="258" t="e">
        <f t="shared" si="87"/>
        <v>#DIV/0!</v>
      </c>
      <c r="I500" s="124"/>
      <c r="J500" s="124"/>
      <c r="K500" s="124"/>
      <c r="L500" s="125"/>
      <c r="M500" s="125"/>
    </row>
    <row r="501" spans="1:13" s="56" customFormat="1" ht="31.5" hidden="1" x14ac:dyDescent="0.2">
      <c r="A501" s="57" t="s">
        <v>25</v>
      </c>
      <c r="B501" s="58" t="s">
        <v>8</v>
      </c>
      <c r="C501" s="58" t="s">
        <v>381</v>
      </c>
      <c r="D501" s="58" t="s">
        <v>398</v>
      </c>
      <c r="E501" s="58" t="s">
        <v>36</v>
      </c>
      <c r="F501" s="82">
        <f t="shared" si="92"/>
        <v>0</v>
      </c>
      <c r="G501" s="82">
        <f t="shared" si="92"/>
        <v>0</v>
      </c>
      <c r="H501" s="258" t="e">
        <f t="shared" si="87"/>
        <v>#DIV/0!</v>
      </c>
      <c r="I501" s="124"/>
      <c r="J501" s="124"/>
      <c r="K501" s="124"/>
      <c r="L501" s="125"/>
      <c r="M501" s="125"/>
    </row>
    <row r="502" spans="1:13" s="56" customFormat="1" ht="31.5" hidden="1" x14ac:dyDescent="0.2">
      <c r="A502" s="57" t="s">
        <v>26</v>
      </c>
      <c r="B502" s="58" t="s">
        <v>8</v>
      </c>
      <c r="C502" s="58" t="s">
        <v>381</v>
      </c>
      <c r="D502" s="58" t="s">
        <v>398</v>
      </c>
      <c r="E502" s="58" t="s">
        <v>37</v>
      </c>
      <c r="F502" s="82"/>
      <c r="G502" s="82"/>
      <c r="H502" s="258" t="e">
        <f t="shared" si="87"/>
        <v>#DIV/0!</v>
      </c>
      <c r="I502" s="124"/>
      <c r="J502" s="124"/>
      <c r="K502" s="124"/>
      <c r="L502" s="125"/>
      <c r="M502" s="125"/>
    </row>
    <row r="503" spans="1:13" s="60" customFormat="1" ht="47.25" hidden="1" x14ac:dyDescent="0.2">
      <c r="A503" s="64" t="s">
        <v>228</v>
      </c>
      <c r="B503" s="53" t="s">
        <v>8</v>
      </c>
      <c r="C503" s="53" t="s">
        <v>381</v>
      </c>
      <c r="D503" s="53" t="s">
        <v>229</v>
      </c>
      <c r="E503" s="53"/>
      <c r="F503" s="65">
        <f t="shared" ref="F503:G505" si="93">F504</f>
        <v>0</v>
      </c>
      <c r="G503" s="65">
        <f t="shared" si="93"/>
        <v>0</v>
      </c>
      <c r="H503" s="258" t="e">
        <f t="shared" si="87"/>
        <v>#DIV/0!</v>
      </c>
      <c r="I503" s="124"/>
      <c r="J503" s="124"/>
      <c r="K503" s="124"/>
      <c r="L503" s="125"/>
      <c r="M503" s="125"/>
    </row>
    <row r="504" spans="1:13" s="56" customFormat="1" ht="47.25" hidden="1" x14ac:dyDescent="0.2">
      <c r="A504" s="63" t="s">
        <v>230</v>
      </c>
      <c r="B504" s="58" t="s">
        <v>8</v>
      </c>
      <c r="C504" s="58" t="s">
        <v>381</v>
      </c>
      <c r="D504" s="58" t="s">
        <v>231</v>
      </c>
      <c r="E504" s="58"/>
      <c r="F504" s="82">
        <f t="shared" si="93"/>
        <v>0</v>
      </c>
      <c r="G504" s="82">
        <f t="shared" si="93"/>
        <v>0</v>
      </c>
      <c r="H504" s="258" t="e">
        <f t="shared" si="87"/>
        <v>#DIV/0!</v>
      </c>
      <c r="I504" s="124"/>
      <c r="J504" s="124"/>
      <c r="K504" s="124"/>
      <c r="L504" s="125"/>
      <c r="M504" s="125"/>
    </row>
    <row r="505" spans="1:13" s="56" customFormat="1" ht="31.5" hidden="1" x14ac:dyDescent="0.2">
      <c r="A505" s="57" t="s">
        <v>25</v>
      </c>
      <c r="B505" s="58" t="s">
        <v>8</v>
      </c>
      <c r="C505" s="58" t="s">
        <v>381</v>
      </c>
      <c r="D505" s="58" t="s">
        <v>231</v>
      </c>
      <c r="E505" s="58" t="s">
        <v>36</v>
      </c>
      <c r="F505" s="82">
        <f t="shared" si="93"/>
        <v>0</v>
      </c>
      <c r="G505" s="82">
        <f t="shared" si="93"/>
        <v>0</v>
      </c>
      <c r="H505" s="258" t="e">
        <f t="shared" si="87"/>
        <v>#DIV/0!</v>
      </c>
      <c r="I505" s="124"/>
      <c r="J505" s="124"/>
      <c r="K505" s="124"/>
      <c r="L505" s="125"/>
      <c r="M505" s="125"/>
    </row>
    <row r="506" spans="1:13" s="56" customFormat="1" ht="31.5" hidden="1" x14ac:dyDescent="0.2">
      <c r="A506" s="57" t="s">
        <v>26</v>
      </c>
      <c r="B506" s="58" t="s">
        <v>8</v>
      </c>
      <c r="C506" s="58" t="s">
        <v>381</v>
      </c>
      <c r="D506" s="58" t="s">
        <v>231</v>
      </c>
      <c r="E506" s="58" t="s">
        <v>37</v>
      </c>
      <c r="F506" s="82"/>
      <c r="G506" s="82"/>
      <c r="H506" s="258" t="e">
        <f t="shared" si="87"/>
        <v>#DIV/0!</v>
      </c>
      <c r="I506" s="124"/>
      <c r="J506" s="124"/>
      <c r="K506" s="124"/>
      <c r="L506" s="125"/>
      <c r="M506" s="125"/>
    </row>
    <row r="507" spans="1:13" s="60" customFormat="1" ht="45" customHeight="1" x14ac:dyDescent="0.2">
      <c r="A507" s="14" t="s">
        <v>399</v>
      </c>
      <c r="B507" s="53" t="s">
        <v>8</v>
      </c>
      <c r="C507" s="53" t="s">
        <v>381</v>
      </c>
      <c r="D507" s="53" t="s">
        <v>52</v>
      </c>
      <c r="E507" s="53"/>
      <c r="F507" s="65">
        <f t="shared" ref="F507:G511" si="94">F508</f>
        <v>3142.7</v>
      </c>
      <c r="G507" s="65">
        <f t="shared" si="94"/>
        <v>0</v>
      </c>
      <c r="H507" s="258">
        <f t="shared" si="87"/>
        <v>0</v>
      </c>
      <c r="I507" s="124"/>
      <c r="J507" s="124"/>
      <c r="K507" s="124"/>
      <c r="L507" s="125"/>
      <c r="M507" s="125"/>
    </row>
    <row r="508" spans="1:13" s="56" customFormat="1" ht="46.9" customHeight="1" x14ac:dyDescent="0.2">
      <c r="A508" s="57" t="s">
        <v>400</v>
      </c>
      <c r="B508" s="58" t="s">
        <v>8</v>
      </c>
      <c r="C508" s="58" t="s">
        <v>381</v>
      </c>
      <c r="D508" s="58" t="s">
        <v>401</v>
      </c>
      <c r="E508" s="58"/>
      <c r="F508" s="82">
        <f t="shared" si="94"/>
        <v>3142.7</v>
      </c>
      <c r="G508" s="82">
        <f t="shared" si="94"/>
        <v>0</v>
      </c>
      <c r="H508" s="258">
        <f t="shared" si="87"/>
        <v>0</v>
      </c>
      <c r="I508" s="124"/>
      <c r="J508" s="124"/>
      <c r="K508" s="124"/>
      <c r="L508" s="125"/>
      <c r="M508" s="125"/>
    </row>
    <row r="509" spans="1:13" s="56" customFormat="1" ht="80.45" customHeight="1" x14ac:dyDescent="0.2">
      <c r="A509" s="57" t="s">
        <v>402</v>
      </c>
      <c r="B509" s="58" t="s">
        <v>8</v>
      </c>
      <c r="C509" s="58" t="s">
        <v>381</v>
      </c>
      <c r="D509" s="58" t="s">
        <v>403</v>
      </c>
      <c r="E509" s="58"/>
      <c r="F509" s="82">
        <f t="shared" si="94"/>
        <v>3142.7</v>
      </c>
      <c r="G509" s="82">
        <f t="shared" si="94"/>
        <v>0</v>
      </c>
      <c r="H509" s="258">
        <f t="shared" si="87"/>
        <v>0</v>
      </c>
      <c r="I509" s="124"/>
      <c r="J509" s="124"/>
      <c r="K509" s="124"/>
      <c r="L509" s="125"/>
      <c r="M509" s="125"/>
    </row>
    <row r="510" spans="1:13" s="56" customFormat="1" ht="52.15" customHeight="1" x14ac:dyDescent="0.2">
      <c r="A510" s="57" t="s">
        <v>404</v>
      </c>
      <c r="B510" s="58" t="s">
        <v>8</v>
      </c>
      <c r="C510" s="58" t="s">
        <v>381</v>
      </c>
      <c r="D510" s="58" t="s">
        <v>405</v>
      </c>
      <c r="E510" s="58"/>
      <c r="F510" s="82">
        <f t="shared" si="94"/>
        <v>3142.7</v>
      </c>
      <c r="G510" s="82">
        <f t="shared" si="94"/>
        <v>0</v>
      </c>
      <c r="H510" s="258">
        <f t="shared" si="87"/>
        <v>0</v>
      </c>
      <c r="I510" s="124"/>
      <c r="J510" s="124"/>
      <c r="K510" s="124"/>
      <c r="L510" s="125"/>
      <c r="M510" s="125"/>
    </row>
    <row r="511" spans="1:13" s="56" customFormat="1" x14ac:dyDescent="0.2">
      <c r="A511" s="57" t="s">
        <v>29</v>
      </c>
      <c r="B511" s="58" t="s">
        <v>8</v>
      </c>
      <c r="C511" s="58" t="s">
        <v>381</v>
      </c>
      <c r="D511" s="58" t="s">
        <v>405</v>
      </c>
      <c r="E511" s="58" t="s">
        <v>130</v>
      </c>
      <c r="F511" s="82">
        <f t="shared" si="94"/>
        <v>3142.7</v>
      </c>
      <c r="G511" s="82">
        <f t="shared" si="94"/>
        <v>0</v>
      </c>
      <c r="H511" s="258">
        <f t="shared" si="87"/>
        <v>0</v>
      </c>
      <c r="I511" s="124"/>
      <c r="J511" s="124"/>
      <c r="K511" s="124"/>
      <c r="L511" s="125"/>
      <c r="M511" s="125"/>
    </row>
    <row r="512" spans="1:13" s="56" customFormat="1" ht="47.25" x14ac:dyDescent="0.2">
      <c r="A512" s="103" t="s">
        <v>233</v>
      </c>
      <c r="B512" s="58" t="s">
        <v>8</v>
      </c>
      <c r="C512" s="58" t="s">
        <v>381</v>
      </c>
      <c r="D512" s="58" t="s">
        <v>405</v>
      </c>
      <c r="E512" s="58" t="s">
        <v>196</v>
      </c>
      <c r="F512" s="82">
        <v>3142.7</v>
      </c>
      <c r="G512" s="82">
        <v>0</v>
      </c>
      <c r="H512" s="258">
        <f t="shared" si="87"/>
        <v>0</v>
      </c>
      <c r="I512" s="124"/>
      <c r="J512" s="124"/>
      <c r="K512" s="124"/>
      <c r="L512" s="125"/>
      <c r="M512" s="125"/>
    </row>
    <row r="513" spans="1:13" s="60" customFormat="1" ht="47.25" x14ac:dyDescent="0.2">
      <c r="A513" s="127" t="s">
        <v>391</v>
      </c>
      <c r="B513" s="58" t="s">
        <v>8</v>
      </c>
      <c r="C513" s="58" t="s">
        <v>381</v>
      </c>
      <c r="D513" s="53" t="s">
        <v>392</v>
      </c>
      <c r="E513" s="53"/>
      <c r="F513" s="65">
        <f t="shared" ref="F513:G517" si="95">F514</f>
        <v>2595.3000000000002</v>
      </c>
      <c r="G513" s="65">
        <f t="shared" si="95"/>
        <v>236.8</v>
      </c>
      <c r="H513" s="258">
        <f t="shared" si="87"/>
        <v>9.1241860285901435E-2</v>
      </c>
      <c r="I513" s="124"/>
      <c r="J513" s="124"/>
      <c r="K513" s="124"/>
      <c r="L513" s="125"/>
      <c r="M513" s="125"/>
    </row>
    <row r="514" spans="1:13" s="56" customFormat="1" ht="31.5" x14ac:dyDescent="0.2">
      <c r="A514" s="103" t="s">
        <v>393</v>
      </c>
      <c r="B514" s="58" t="s">
        <v>8</v>
      </c>
      <c r="C514" s="58" t="s">
        <v>381</v>
      </c>
      <c r="D514" s="58" t="s">
        <v>394</v>
      </c>
      <c r="E514" s="58"/>
      <c r="F514" s="82">
        <f t="shared" si="95"/>
        <v>2595.3000000000002</v>
      </c>
      <c r="G514" s="82">
        <f t="shared" si="95"/>
        <v>236.8</v>
      </c>
      <c r="H514" s="258">
        <f t="shared" si="87"/>
        <v>9.1241860285901435E-2</v>
      </c>
      <c r="I514" s="124"/>
      <c r="J514" s="124"/>
      <c r="K514" s="124"/>
      <c r="L514" s="125"/>
      <c r="M514" s="125"/>
    </row>
    <row r="515" spans="1:13" s="56" customFormat="1" ht="47.25" x14ac:dyDescent="0.2">
      <c r="A515" s="103" t="s">
        <v>395</v>
      </c>
      <c r="B515" s="58" t="s">
        <v>8</v>
      </c>
      <c r="C515" s="58" t="s">
        <v>381</v>
      </c>
      <c r="D515" s="58" t="s">
        <v>396</v>
      </c>
      <c r="E515" s="58"/>
      <c r="F515" s="82">
        <f t="shared" si="95"/>
        <v>2595.3000000000002</v>
      </c>
      <c r="G515" s="82">
        <f t="shared" si="95"/>
        <v>236.8</v>
      </c>
      <c r="H515" s="258">
        <f t="shared" si="87"/>
        <v>9.1241860285901435E-2</v>
      </c>
      <c r="I515" s="124"/>
      <c r="J515" s="124"/>
      <c r="K515" s="124"/>
      <c r="L515" s="125"/>
      <c r="M515" s="125"/>
    </row>
    <row r="516" spans="1:13" s="56" customFormat="1" ht="63" x14ac:dyDescent="0.2">
      <c r="A516" s="103" t="s">
        <v>397</v>
      </c>
      <c r="B516" s="58" t="s">
        <v>8</v>
      </c>
      <c r="C516" s="58" t="s">
        <v>381</v>
      </c>
      <c r="D516" s="58" t="s">
        <v>398</v>
      </c>
      <c r="E516" s="58"/>
      <c r="F516" s="82">
        <f t="shared" si="95"/>
        <v>2595.3000000000002</v>
      </c>
      <c r="G516" s="82">
        <f t="shared" si="95"/>
        <v>236.8</v>
      </c>
      <c r="H516" s="258">
        <f t="shared" si="87"/>
        <v>9.1241860285901435E-2</v>
      </c>
      <c r="I516" s="124"/>
      <c r="J516" s="124"/>
      <c r="K516" s="124"/>
      <c r="L516" s="125"/>
      <c r="M516" s="125"/>
    </row>
    <row r="517" spans="1:13" s="56" customFormat="1" ht="31.5" x14ac:dyDescent="0.2">
      <c r="A517" s="57" t="s">
        <v>25</v>
      </c>
      <c r="B517" s="58" t="s">
        <v>8</v>
      </c>
      <c r="C517" s="58" t="s">
        <v>381</v>
      </c>
      <c r="D517" s="58" t="s">
        <v>398</v>
      </c>
      <c r="E517" s="58" t="s">
        <v>36</v>
      </c>
      <c r="F517" s="82">
        <f t="shared" si="95"/>
        <v>2595.3000000000002</v>
      </c>
      <c r="G517" s="82">
        <f t="shared" si="95"/>
        <v>236.8</v>
      </c>
      <c r="H517" s="258">
        <f t="shared" si="87"/>
        <v>9.1241860285901435E-2</v>
      </c>
      <c r="I517" s="124"/>
      <c r="J517" s="124"/>
      <c r="K517" s="124"/>
      <c r="L517" s="125"/>
      <c r="M517" s="125"/>
    </row>
    <row r="518" spans="1:13" s="56" customFormat="1" ht="31.5" x14ac:dyDescent="0.2">
      <c r="A518" s="57" t="s">
        <v>26</v>
      </c>
      <c r="B518" s="58" t="s">
        <v>8</v>
      </c>
      <c r="C518" s="58" t="s">
        <v>381</v>
      </c>
      <c r="D518" s="58" t="s">
        <v>398</v>
      </c>
      <c r="E518" s="58" t="s">
        <v>37</v>
      </c>
      <c r="F518" s="82">
        <v>2595.3000000000002</v>
      </c>
      <c r="G518" s="82">
        <v>236.8</v>
      </c>
      <c r="H518" s="258">
        <f t="shared" si="87"/>
        <v>9.1241860285901435E-2</v>
      </c>
      <c r="I518" s="124"/>
      <c r="J518" s="124"/>
      <c r="K518" s="124"/>
      <c r="L518" s="125"/>
      <c r="M518" s="125"/>
    </row>
    <row r="519" spans="1:13" s="72" customFormat="1" x14ac:dyDescent="0.2">
      <c r="A519" s="156" t="s">
        <v>406</v>
      </c>
      <c r="B519" s="53" t="s">
        <v>8</v>
      </c>
      <c r="C519" s="53" t="s">
        <v>381</v>
      </c>
      <c r="D519" s="53" t="s">
        <v>407</v>
      </c>
      <c r="E519" s="54"/>
      <c r="F519" s="48">
        <f>F520+F532</f>
        <v>7551.9</v>
      </c>
      <c r="G519" s="48">
        <f>G520+G532</f>
        <v>4107.6000000000004</v>
      </c>
      <c r="H519" s="258">
        <f t="shared" si="87"/>
        <v>0.54391610058395912</v>
      </c>
      <c r="I519" s="124"/>
      <c r="J519" s="124"/>
      <c r="K519" s="124"/>
      <c r="L519" s="125"/>
      <c r="M519" s="125"/>
    </row>
    <row r="520" spans="1:13" s="72" customFormat="1" x14ac:dyDescent="0.2">
      <c r="A520" s="157" t="s">
        <v>408</v>
      </c>
      <c r="B520" s="58" t="s">
        <v>8</v>
      </c>
      <c r="C520" s="58" t="s">
        <v>381</v>
      </c>
      <c r="D520" s="58" t="s">
        <v>409</v>
      </c>
      <c r="E520" s="59"/>
      <c r="F520" s="49">
        <f>F522+F524</f>
        <v>7042.5</v>
      </c>
      <c r="G520" s="49">
        <f>G522+G524</f>
        <v>4107.6000000000004</v>
      </c>
      <c r="H520" s="258">
        <f t="shared" si="87"/>
        <v>0.58325878594249203</v>
      </c>
      <c r="I520" s="124"/>
      <c r="J520" s="124"/>
      <c r="K520" s="124"/>
      <c r="L520" s="125"/>
      <c r="M520" s="125"/>
    </row>
    <row r="521" spans="1:13" s="72" customFormat="1" hidden="1" x14ac:dyDescent="0.2">
      <c r="A521" s="157" t="s">
        <v>410</v>
      </c>
      <c r="B521" s="58" t="s">
        <v>8</v>
      </c>
      <c r="C521" s="58" t="s">
        <v>381</v>
      </c>
      <c r="D521" s="58" t="s">
        <v>411</v>
      </c>
      <c r="E521" s="59"/>
      <c r="F521" s="49">
        <v>0</v>
      </c>
      <c r="G521" s="49">
        <v>0</v>
      </c>
      <c r="H521" s="258" t="e">
        <f t="shared" si="87"/>
        <v>#DIV/0!</v>
      </c>
      <c r="I521" s="124"/>
      <c r="J521" s="124"/>
      <c r="K521" s="124"/>
      <c r="L521" s="125"/>
      <c r="M521" s="125"/>
    </row>
    <row r="522" spans="1:13" s="72" customFormat="1" ht="31.5" x14ac:dyDescent="0.2">
      <c r="A522" s="57" t="s">
        <v>25</v>
      </c>
      <c r="B522" s="58" t="s">
        <v>8</v>
      </c>
      <c r="C522" s="58" t="s">
        <v>381</v>
      </c>
      <c r="D522" s="58" t="s">
        <v>412</v>
      </c>
      <c r="E522" s="59">
        <v>200</v>
      </c>
      <c r="F522" s="49">
        <f>F523</f>
        <v>6946.5</v>
      </c>
      <c r="G522" s="49">
        <f>G523</f>
        <v>4011.6</v>
      </c>
      <c r="H522" s="258">
        <f t="shared" ref="H522:H585" si="96">G522/F522</f>
        <v>0.5774994601597927</v>
      </c>
      <c r="I522" s="124"/>
      <c r="J522" s="124"/>
      <c r="K522" s="124"/>
      <c r="L522" s="125"/>
      <c r="M522" s="125"/>
    </row>
    <row r="523" spans="1:13" s="72" customFormat="1" ht="31.5" x14ac:dyDescent="0.2">
      <c r="A523" s="57" t="s">
        <v>26</v>
      </c>
      <c r="B523" s="58" t="s">
        <v>8</v>
      </c>
      <c r="C523" s="58" t="s">
        <v>381</v>
      </c>
      <c r="D523" s="58" t="s">
        <v>412</v>
      </c>
      <c r="E523" s="59">
        <v>240</v>
      </c>
      <c r="F523" s="49">
        <v>6946.5</v>
      </c>
      <c r="G523" s="49">
        <f>1957.6+2054</f>
        <v>4011.6</v>
      </c>
      <c r="H523" s="258">
        <f t="shared" si="96"/>
        <v>0.5774994601597927</v>
      </c>
      <c r="I523" s="124"/>
      <c r="J523" s="124"/>
      <c r="K523" s="124"/>
      <c r="L523" s="125"/>
      <c r="M523" s="125"/>
    </row>
    <row r="524" spans="1:13" s="72" customFormat="1" x14ac:dyDescent="0.2">
      <c r="A524" s="57" t="s">
        <v>29</v>
      </c>
      <c r="B524" s="58" t="s">
        <v>8</v>
      </c>
      <c r="C524" s="58" t="s">
        <v>381</v>
      </c>
      <c r="D524" s="58" t="s">
        <v>412</v>
      </c>
      <c r="E524" s="59">
        <v>800</v>
      </c>
      <c r="F524" s="49">
        <f>F525+F526</f>
        <v>96</v>
      </c>
      <c r="G524" s="49">
        <f>G525+G526</f>
        <v>96</v>
      </c>
      <c r="H524" s="258">
        <f t="shared" si="96"/>
        <v>1</v>
      </c>
      <c r="I524" s="124"/>
      <c r="J524" s="124"/>
      <c r="K524" s="124"/>
      <c r="L524" s="125"/>
      <c r="M524" s="125"/>
    </row>
    <row r="525" spans="1:13" s="72" customFormat="1" x14ac:dyDescent="0.2">
      <c r="A525" s="103" t="s">
        <v>30</v>
      </c>
      <c r="B525" s="58" t="s">
        <v>8</v>
      </c>
      <c r="C525" s="58" t="s">
        <v>381</v>
      </c>
      <c r="D525" s="58" t="s">
        <v>412</v>
      </c>
      <c r="E525" s="59">
        <v>830</v>
      </c>
      <c r="F525" s="49">
        <v>96</v>
      </c>
      <c r="G525" s="49">
        <v>96</v>
      </c>
      <c r="H525" s="258">
        <f t="shared" si="96"/>
        <v>1</v>
      </c>
      <c r="I525" s="124"/>
      <c r="J525" s="124"/>
      <c r="K525" s="124"/>
      <c r="L525" s="125"/>
      <c r="M525" s="125"/>
    </row>
    <row r="526" spans="1:13" s="72" customFormat="1" hidden="1" x14ac:dyDescent="0.2">
      <c r="A526" s="57" t="s">
        <v>50</v>
      </c>
      <c r="B526" s="58" t="s">
        <v>8</v>
      </c>
      <c r="C526" s="58" t="s">
        <v>381</v>
      </c>
      <c r="D526" s="58" t="s">
        <v>412</v>
      </c>
      <c r="E526" s="59">
        <v>870</v>
      </c>
      <c r="F526" s="49">
        <f>2000-2000</f>
        <v>0</v>
      </c>
      <c r="G526" s="49">
        <f>2000-2000</f>
        <v>0</v>
      </c>
      <c r="H526" s="258" t="e">
        <f t="shared" si="96"/>
        <v>#DIV/0!</v>
      </c>
      <c r="I526" s="124"/>
      <c r="J526" s="124"/>
      <c r="K526" s="124"/>
      <c r="L526" s="125"/>
      <c r="M526" s="125"/>
    </row>
    <row r="527" spans="1:13" s="72" customFormat="1" hidden="1" x14ac:dyDescent="0.2">
      <c r="A527" s="57" t="s">
        <v>29</v>
      </c>
      <c r="B527" s="58" t="s">
        <v>8</v>
      </c>
      <c r="C527" s="58" t="s">
        <v>381</v>
      </c>
      <c r="D527" s="58" t="s">
        <v>412</v>
      </c>
      <c r="E527" s="59">
        <v>800</v>
      </c>
      <c r="F527" s="49">
        <f>F528</f>
        <v>0</v>
      </c>
      <c r="G527" s="49">
        <f>G528</f>
        <v>0</v>
      </c>
      <c r="H527" s="258" t="e">
        <f t="shared" si="96"/>
        <v>#DIV/0!</v>
      </c>
      <c r="I527" s="124"/>
      <c r="J527" s="124"/>
      <c r="K527" s="124"/>
      <c r="L527" s="125"/>
      <c r="M527" s="125"/>
    </row>
    <row r="528" spans="1:13" s="72" customFormat="1" hidden="1" x14ac:dyDescent="0.2">
      <c r="A528" s="57" t="s">
        <v>50</v>
      </c>
      <c r="B528" s="58" t="s">
        <v>8</v>
      </c>
      <c r="C528" s="58" t="s">
        <v>381</v>
      </c>
      <c r="D528" s="58" t="s">
        <v>412</v>
      </c>
      <c r="E528" s="59">
        <v>870</v>
      </c>
      <c r="F528" s="49"/>
      <c r="G528" s="49"/>
      <c r="H528" s="258" t="e">
        <f t="shared" si="96"/>
        <v>#DIV/0!</v>
      </c>
      <c r="I528" s="124"/>
      <c r="J528" s="124"/>
      <c r="K528" s="124"/>
      <c r="L528" s="125"/>
      <c r="M528" s="125"/>
    </row>
    <row r="529" spans="1:13" s="72" customFormat="1" ht="31.5" hidden="1" x14ac:dyDescent="0.2">
      <c r="A529" s="157" t="s">
        <v>413</v>
      </c>
      <c r="B529" s="58" t="s">
        <v>8</v>
      </c>
      <c r="C529" s="58" t="s">
        <v>381</v>
      </c>
      <c r="D529" s="58" t="s">
        <v>414</v>
      </c>
      <c r="E529" s="59"/>
      <c r="F529" s="49">
        <f>F530</f>
        <v>0</v>
      </c>
      <c r="G529" s="49">
        <f>G530</f>
        <v>0</v>
      </c>
      <c r="H529" s="258" t="e">
        <f t="shared" si="96"/>
        <v>#DIV/0!</v>
      </c>
      <c r="I529" s="124"/>
      <c r="J529" s="124"/>
      <c r="K529" s="124"/>
      <c r="L529" s="125"/>
      <c r="M529" s="125"/>
    </row>
    <row r="530" spans="1:13" s="72" customFormat="1" ht="31.5" hidden="1" x14ac:dyDescent="0.2">
      <c r="A530" s="57" t="s">
        <v>25</v>
      </c>
      <c r="B530" s="58" t="s">
        <v>8</v>
      </c>
      <c r="C530" s="58" t="s">
        <v>381</v>
      </c>
      <c r="D530" s="58" t="s">
        <v>414</v>
      </c>
      <c r="E530" s="59">
        <v>200</v>
      </c>
      <c r="F530" s="49">
        <f>F531</f>
        <v>0</v>
      </c>
      <c r="G530" s="49">
        <f>G531</f>
        <v>0</v>
      </c>
      <c r="H530" s="258" t="e">
        <f t="shared" si="96"/>
        <v>#DIV/0!</v>
      </c>
      <c r="I530" s="124"/>
      <c r="J530" s="124"/>
      <c r="K530" s="124"/>
      <c r="L530" s="125"/>
      <c r="M530" s="125"/>
    </row>
    <row r="531" spans="1:13" s="72" customFormat="1" ht="31.5" hidden="1" x14ac:dyDescent="0.2">
      <c r="A531" s="57" t="s">
        <v>26</v>
      </c>
      <c r="B531" s="58" t="s">
        <v>8</v>
      </c>
      <c r="C531" s="58" t="s">
        <v>381</v>
      </c>
      <c r="D531" s="58" t="s">
        <v>414</v>
      </c>
      <c r="E531" s="59">
        <v>240</v>
      </c>
      <c r="F531" s="49"/>
      <c r="G531" s="49"/>
      <c r="H531" s="258" t="e">
        <f t="shared" si="96"/>
        <v>#DIV/0!</v>
      </c>
      <c r="I531" s="124"/>
      <c r="J531" s="124"/>
      <c r="K531" s="124"/>
      <c r="L531" s="125"/>
      <c r="M531" s="125"/>
    </row>
    <row r="532" spans="1:13" s="72" customFormat="1" ht="31.5" x14ac:dyDescent="0.2">
      <c r="A532" s="157" t="s">
        <v>415</v>
      </c>
      <c r="B532" s="58" t="s">
        <v>8</v>
      </c>
      <c r="C532" s="58" t="s">
        <v>381</v>
      </c>
      <c r="D532" s="58" t="s">
        <v>416</v>
      </c>
      <c r="E532" s="59"/>
      <c r="F532" s="49">
        <f t="shared" ref="F532:G534" si="97">F533</f>
        <v>509.4</v>
      </c>
      <c r="G532" s="49">
        <f t="shared" si="97"/>
        <v>0</v>
      </c>
      <c r="H532" s="258">
        <f t="shared" si="96"/>
        <v>0</v>
      </c>
      <c r="I532" s="124"/>
      <c r="J532" s="124"/>
      <c r="K532" s="124"/>
      <c r="L532" s="125"/>
      <c r="M532" s="125"/>
    </row>
    <row r="533" spans="1:13" s="72" customFormat="1" ht="31.5" x14ac:dyDescent="0.2">
      <c r="A533" s="157" t="s">
        <v>417</v>
      </c>
      <c r="B533" s="58" t="s">
        <v>8</v>
      </c>
      <c r="C533" s="58" t="s">
        <v>381</v>
      </c>
      <c r="D533" s="58" t="s">
        <v>418</v>
      </c>
      <c r="E533" s="59"/>
      <c r="F533" s="49">
        <f t="shared" si="97"/>
        <v>509.4</v>
      </c>
      <c r="G533" s="49">
        <f t="shared" si="97"/>
        <v>0</v>
      </c>
      <c r="H533" s="258">
        <f t="shared" si="96"/>
        <v>0</v>
      </c>
      <c r="I533" s="124"/>
      <c r="J533" s="124"/>
      <c r="K533" s="124"/>
      <c r="L533" s="125"/>
      <c r="M533" s="125"/>
    </row>
    <row r="534" spans="1:13" s="72" customFormat="1" x14ac:dyDescent="0.2">
      <c r="A534" s="57" t="s">
        <v>29</v>
      </c>
      <c r="B534" s="58" t="s">
        <v>8</v>
      </c>
      <c r="C534" s="58" t="s">
        <v>381</v>
      </c>
      <c r="D534" s="58" t="s">
        <v>418</v>
      </c>
      <c r="E534" s="59">
        <v>800</v>
      </c>
      <c r="F534" s="49">
        <f t="shared" si="97"/>
        <v>509.4</v>
      </c>
      <c r="G534" s="49">
        <f t="shared" si="97"/>
        <v>0</v>
      </c>
      <c r="H534" s="258">
        <f t="shared" si="96"/>
        <v>0</v>
      </c>
      <c r="I534" s="124"/>
      <c r="J534" s="124"/>
      <c r="K534" s="124"/>
      <c r="L534" s="125"/>
      <c r="M534" s="125"/>
    </row>
    <row r="535" spans="1:13" s="72" customFormat="1" ht="47.25" x14ac:dyDescent="0.2">
      <c r="A535" s="103" t="s">
        <v>233</v>
      </c>
      <c r="B535" s="58" t="s">
        <v>8</v>
      </c>
      <c r="C535" s="58" t="s">
        <v>381</v>
      </c>
      <c r="D535" s="58" t="s">
        <v>418</v>
      </c>
      <c r="E535" s="59">
        <v>810</v>
      </c>
      <c r="F535" s="49">
        <v>509.4</v>
      </c>
      <c r="G535" s="49">
        <v>0</v>
      </c>
      <c r="H535" s="258">
        <f t="shared" si="96"/>
        <v>0</v>
      </c>
      <c r="I535" s="124"/>
      <c r="J535" s="124"/>
      <c r="K535" s="124"/>
      <c r="L535" s="125"/>
      <c r="M535" s="125"/>
    </row>
    <row r="536" spans="1:13" s="72" customFormat="1" ht="47.25" hidden="1" x14ac:dyDescent="0.2">
      <c r="A536" s="157" t="s">
        <v>419</v>
      </c>
      <c r="B536" s="58" t="s">
        <v>8</v>
      </c>
      <c r="C536" s="58" t="s">
        <v>381</v>
      </c>
      <c r="D536" s="58" t="s">
        <v>420</v>
      </c>
      <c r="E536" s="59"/>
      <c r="F536" s="49">
        <f>F537</f>
        <v>0</v>
      </c>
      <c r="G536" s="49">
        <f>G537</f>
        <v>0</v>
      </c>
      <c r="H536" s="258" t="e">
        <f t="shared" si="96"/>
        <v>#DIV/0!</v>
      </c>
      <c r="I536" s="124"/>
      <c r="J536" s="124"/>
      <c r="K536" s="124"/>
      <c r="L536" s="125"/>
      <c r="M536" s="125"/>
    </row>
    <row r="537" spans="1:13" s="72" customFormat="1" ht="31.5" hidden="1" x14ac:dyDescent="0.2">
      <c r="A537" s="157" t="s">
        <v>374</v>
      </c>
      <c r="B537" s="58" t="s">
        <v>8</v>
      </c>
      <c r="C537" s="58" t="s">
        <v>381</v>
      </c>
      <c r="D537" s="58" t="s">
        <v>421</v>
      </c>
      <c r="E537" s="59">
        <v>400</v>
      </c>
      <c r="F537" s="49">
        <f>F538</f>
        <v>0</v>
      </c>
      <c r="G537" s="49">
        <f>G538</f>
        <v>0</v>
      </c>
      <c r="H537" s="258" t="e">
        <f t="shared" si="96"/>
        <v>#DIV/0!</v>
      </c>
      <c r="I537" s="124"/>
      <c r="J537" s="124"/>
      <c r="K537" s="124"/>
      <c r="L537" s="125"/>
      <c r="M537" s="125"/>
    </row>
    <row r="538" spans="1:13" s="72" customFormat="1" hidden="1" x14ac:dyDescent="0.2">
      <c r="A538" s="157" t="s">
        <v>376</v>
      </c>
      <c r="B538" s="58" t="s">
        <v>8</v>
      </c>
      <c r="C538" s="58" t="s">
        <v>381</v>
      </c>
      <c r="D538" s="58" t="s">
        <v>421</v>
      </c>
      <c r="E538" s="59">
        <v>410</v>
      </c>
      <c r="F538" s="49"/>
      <c r="G538" s="49"/>
      <c r="H538" s="258" t="e">
        <f t="shared" si="96"/>
        <v>#DIV/0!</v>
      </c>
      <c r="I538" s="124"/>
      <c r="J538" s="124"/>
      <c r="K538" s="124"/>
      <c r="L538" s="125"/>
      <c r="M538" s="125"/>
    </row>
    <row r="539" spans="1:13" s="72" customFormat="1" ht="63" hidden="1" customHeight="1" x14ac:dyDescent="0.2">
      <c r="A539" s="158" t="s">
        <v>422</v>
      </c>
      <c r="B539" s="159" t="s">
        <v>8</v>
      </c>
      <c r="C539" s="159" t="s">
        <v>381</v>
      </c>
      <c r="D539" s="159" t="s">
        <v>421</v>
      </c>
      <c r="E539" s="160">
        <v>410</v>
      </c>
      <c r="F539" s="161"/>
      <c r="G539" s="161"/>
      <c r="H539" s="258" t="e">
        <f t="shared" si="96"/>
        <v>#DIV/0!</v>
      </c>
      <c r="I539" s="124"/>
      <c r="J539" s="124"/>
      <c r="K539" s="124"/>
      <c r="L539" s="125"/>
      <c r="M539" s="125"/>
    </row>
    <row r="540" spans="1:13" s="72" customFormat="1" x14ac:dyDescent="0.2">
      <c r="A540" s="127" t="s">
        <v>197</v>
      </c>
      <c r="B540" s="53" t="s">
        <v>8</v>
      </c>
      <c r="C540" s="53" t="s">
        <v>381</v>
      </c>
      <c r="D540" s="53" t="s">
        <v>198</v>
      </c>
      <c r="E540" s="54"/>
      <c r="F540" s="48">
        <f>F541+F545+F550</f>
        <v>1138.9000000000001</v>
      </c>
      <c r="G540" s="48">
        <f>G541+G545+G550</f>
        <v>424.4</v>
      </c>
      <c r="H540" s="258">
        <f t="shared" si="96"/>
        <v>0.37264026692422508</v>
      </c>
      <c r="I540" s="124"/>
      <c r="J540" s="124"/>
      <c r="K540" s="124"/>
      <c r="L540" s="125"/>
      <c r="M540" s="125"/>
    </row>
    <row r="541" spans="1:13" s="45" customFormat="1" ht="47.25" x14ac:dyDescent="0.2">
      <c r="A541" s="105" t="s">
        <v>423</v>
      </c>
      <c r="B541" s="40" t="s">
        <v>8</v>
      </c>
      <c r="C541" s="40" t="s">
        <v>381</v>
      </c>
      <c r="D541" s="162" t="s">
        <v>424</v>
      </c>
      <c r="E541" s="106"/>
      <c r="F541" s="129">
        <f>F542</f>
        <v>533.1</v>
      </c>
      <c r="G541" s="129">
        <f>G542</f>
        <v>150</v>
      </c>
      <c r="H541" s="258">
        <f t="shared" si="96"/>
        <v>0.28137310073157007</v>
      </c>
      <c r="I541" s="124"/>
      <c r="J541" s="124"/>
      <c r="K541" s="124"/>
      <c r="L541" s="125"/>
      <c r="M541" s="125"/>
    </row>
    <row r="542" spans="1:13" s="45" customFormat="1" ht="31.5" x14ac:dyDescent="0.2">
      <c r="A542" s="57" t="s">
        <v>25</v>
      </c>
      <c r="B542" s="40" t="s">
        <v>8</v>
      </c>
      <c r="C542" s="40" t="s">
        <v>381</v>
      </c>
      <c r="D542" s="31" t="s">
        <v>424</v>
      </c>
      <c r="E542" s="32">
        <v>200</v>
      </c>
      <c r="F542" s="29">
        <f>F543</f>
        <v>533.1</v>
      </c>
      <c r="G542" s="29">
        <f>G543</f>
        <v>150</v>
      </c>
      <c r="H542" s="258">
        <f t="shared" si="96"/>
        <v>0.28137310073157007</v>
      </c>
      <c r="I542" s="124"/>
      <c r="J542" s="124"/>
      <c r="K542" s="124"/>
      <c r="L542" s="125"/>
      <c r="M542" s="125"/>
    </row>
    <row r="543" spans="1:13" s="45" customFormat="1" ht="31.5" x14ac:dyDescent="0.2">
      <c r="A543" s="57" t="s">
        <v>26</v>
      </c>
      <c r="B543" s="40" t="s">
        <v>8</v>
      </c>
      <c r="C543" s="40" t="s">
        <v>381</v>
      </c>
      <c r="D543" s="31" t="s">
        <v>424</v>
      </c>
      <c r="E543" s="32">
        <v>240</v>
      </c>
      <c r="F543" s="29">
        <v>533.1</v>
      </c>
      <c r="G543" s="29">
        <v>150</v>
      </c>
      <c r="H543" s="258">
        <f t="shared" si="96"/>
        <v>0.28137310073157007</v>
      </c>
      <c r="I543" s="124"/>
      <c r="J543" s="124"/>
      <c r="K543" s="124"/>
      <c r="L543" s="125"/>
      <c r="M543" s="125"/>
    </row>
    <row r="544" spans="1:13" s="72" customFormat="1" ht="31.5" x14ac:dyDescent="0.2">
      <c r="A544" s="57" t="s">
        <v>425</v>
      </c>
      <c r="B544" s="58" t="s">
        <v>8</v>
      </c>
      <c r="C544" s="58" t="s">
        <v>381</v>
      </c>
      <c r="D544" s="58" t="s">
        <v>426</v>
      </c>
      <c r="E544" s="58"/>
      <c r="F544" s="49">
        <f>F545+F548</f>
        <v>605.79999999999995</v>
      </c>
      <c r="G544" s="49">
        <f>G545+G548</f>
        <v>274.39999999999998</v>
      </c>
      <c r="H544" s="258">
        <f t="shared" si="96"/>
        <v>0.45295477055133709</v>
      </c>
      <c r="I544" s="124"/>
      <c r="J544" s="124"/>
      <c r="K544" s="124"/>
      <c r="L544" s="125"/>
      <c r="M544" s="125"/>
    </row>
    <row r="545" spans="1:13" s="45" customFormat="1" ht="63" x14ac:dyDescent="0.2">
      <c r="A545" s="157" t="s">
        <v>427</v>
      </c>
      <c r="B545" s="31" t="s">
        <v>8</v>
      </c>
      <c r="C545" s="31" t="s">
        <v>381</v>
      </c>
      <c r="D545" s="31" t="s">
        <v>428</v>
      </c>
      <c r="E545" s="32"/>
      <c r="F545" s="29">
        <f>F546+F548</f>
        <v>605.79999999999995</v>
      </c>
      <c r="G545" s="29">
        <f>G546+G548</f>
        <v>274.39999999999998</v>
      </c>
      <c r="H545" s="258">
        <f t="shared" si="96"/>
        <v>0.45295477055133709</v>
      </c>
      <c r="I545" s="124"/>
      <c r="J545" s="124"/>
      <c r="K545" s="124"/>
      <c r="L545" s="125"/>
      <c r="M545" s="125"/>
    </row>
    <row r="546" spans="1:13" s="45" customFormat="1" ht="31.5" x14ac:dyDescent="0.2">
      <c r="A546" s="43" t="s">
        <v>25</v>
      </c>
      <c r="B546" s="31" t="s">
        <v>8</v>
      </c>
      <c r="C546" s="31" t="s">
        <v>381</v>
      </c>
      <c r="D546" s="31" t="s">
        <v>428</v>
      </c>
      <c r="E546" s="32">
        <v>200</v>
      </c>
      <c r="F546" s="29">
        <f>F547</f>
        <v>605.79999999999995</v>
      </c>
      <c r="G546" s="29">
        <f>G547</f>
        <v>274.39999999999998</v>
      </c>
      <c r="H546" s="258">
        <f t="shared" si="96"/>
        <v>0.45295477055133709</v>
      </c>
      <c r="I546" s="124"/>
      <c r="J546" s="124"/>
      <c r="K546" s="124"/>
      <c r="L546" s="125"/>
      <c r="M546" s="125"/>
    </row>
    <row r="547" spans="1:13" s="45" customFormat="1" ht="31.5" x14ac:dyDescent="0.2">
      <c r="A547" s="43" t="s">
        <v>26</v>
      </c>
      <c r="B547" s="31" t="s">
        <v>8</v>
      </c>
      <c r="C547" s="31" t="s">
        <v>381</v>
      </c>
      <c r="D547" s="31" t="s">
        <v>428</v>
      </c>
      <c r="E547" s="32">
        <v>240</v>
      </c>
      <c r="F547" s="29">
        <v>605.79999999999995</v>
      </c>
      <c r="G547" s="29">
        <v>274.39999999999998</v>
      </c>
      <c r="H547" s="258">
        <f t="shared" si="96"/>
        <v>0.45295477055133709</v>
      </c>
      <c r="I547" s="124"/>
      <c r="J547" s="124"/>
      <c r="K547" s="124"/>
      <c r="L547" s="125"/>
      <c r="M547" s="125"/>
    </row>
    <row r="548" spans="1:13" s="45" customFormat="1" hidden="1" x14ac:dyDescent="0.2">
      <c r="A548" s="43" t="s">
        <v>29</v>
      </c>
      <c r="B548" s="31" t="s">
        <v>8</v>
      </c>
      <c r="C548" s="31" t="s">
        <v>381</v>
      </c>
      <c r="D548" s="31" t="s">
        <v>428</v>
      </c>
      <c r="E548" s="32">
        <v>800</v>
      </c>
      <c r="F548" s="29">
        <f>F549</f>
        <v>0</v>
      </c>
      <c r="G548" s="29">
        <f>G549</f>
        <v>0</v>
      </c>
      <c r="H548" s="258" t="e">
        <f t="shared" si="96"/>
        <v>#DIV/0!</v>
      </c>
      <c r="I548" s="124"/>
      <c r="J548" s="124"/>
      <c r="K548" s="124"/>
      <c r="L548" s="125"/>
      <c r="M548" s="125"/>
    </row>
    <row r="549" spans="1:13" s="45" customFormat="1" hidden="1" x14ac:dyDescent="0.2">
      <c r="A549" s="43" t="s">
        <v>50</v>
      </c>
      <c r="B549" s="31" t="s">
        <v>8</v>
      </c>
      <c r="C549" s="31" t="s">
        <v>381</v>
      </c>
      <c r="D549" s="31" t="s">
        <v>428</v>
      </c>
      <c r="E549" s="32">
        <v>870</v>
      </c>
      <c r="F549" s="29"/>
      <c r="G549" s="29"/>
      <c r="H549" s="258" t="e">
        <f t="shared" si="96"/>
        <v>#DIV/0!</v>
      </c>
      <c r="I549" s="124"/>
      <c r="J549" s="124"/>
      <c r="K549" s="124"/>
      <c r="L549" s="125"/>
      <c r="M549" s="125"/>
    </row>
    <row r="550" spans="1:13" s="45" customFormat="1" ht="31.5" hidden="1" x14ac:dyDescent="0.2">
      <c r="A550" s="105" t="s">
        <v>429</v>
      </c>
      <c r="B550" s="40" t="s">
        <v>8</v>
      </c>
      <c r="C550" s="40" t="s">
        <v>381</v>
      </c>
      <c r="D550" s="31" t="s">
        <v>424</v>
      </c>
      <c r="E550" s="106"/>
      <c r="F550" s="42">
        <f t="shared" ref="F550:G552" si="98">F551</f>
        <v>0</v>
      </c>
      <c r="G550" s="42">
        <f t="shared" si="98"/>
        <v>0</v>
      </c>
      <c r="H550" s="258" t="e">
        <f t="shared" si="96"/>
        <v>#DIV/0!</v>
      </c>
      <c r="I550" s="124"/>
      <c r="J550" s="124"/>
      <c r="K550" s="124"/>
      <c r="L550" s="125"/>
      <c r="M550" s="125"/>
    </row>
    <row r="551" spans="1:13" s="45" customFormat="1" ht="31.5" hidden="1" x14ac:dyDescent="0.2">
      <c r="A551" s="30" t="s">
        <v>430</v>
      </c>
      <c r="B551" s="31" t="s">
        <v>8</v>
      </c>
      <c r="C551" s="31" t="s">
        <v>381</v>
      </c>
      <c r="D551" s="31" t="s">
        <v>431</v>
      </c>
      <c r="E551" s="106"/>
      <c r="F551" s="29">
        <f t="shared" si="98"/>
        <v>0</v>
      </c>
      <c r="G551" s="29">
        <f t="shared" si="98"/>
        <v>0</v>
      </c>
      <c r="H551" s="258" t="e">
        <f t="shared" si="96"/>
        <v>#DIV/0!</v>
      </c>
      <c r="I551" s="124"/>
      <c r="J551" s="124"/>
      <c r="K551" s="124"/>
      <c r="L551" s="125"/>
      <c r="M551" s="125"/>
    </row>
    <row r="552" spans="1:13" s="164" customFormat="1" ht="31.5" hidden="1" x14ac:dyDescent="0.25">
      <c r="A552" s="163" t="s">
        <v>374</v>
      </c>
      <c r="B552" s="31" t="s">
        <v>8</v>
      </c>
      <c r="C552" s="31" t="s">
        <v>381</v>
      </c>
      <c r="D552" s="31" t="s">
        <v>431</v>
      </c>
      <c r="E552" s="32">
        <v>400</v>
      </c>
      <c r="F552" s="29">
        <f t="shared" si="98"/>
        <v>0</v>
      </c>
      <c r="G552" s="29">
        <f t="shared" si="98"/>
        <v>0</v>
      </c>
      <c r="H552" s="258" t="e">
        <f t="shared" si="96"/>
        <v>#DIV/0!</v>
      </c>
      <c r="I552" s="124"/>
      <c r="J552" s="124"/>
      <c r="K552" s="124"/>
      <c r="L552" s="125"/>
      <c r="M552" s="125"/>
    </row>
    <row r="553" spans="1:13" s="164" customFormat="1" hidden="1" x14ac:dyDescent="0.25">
      <c r="A553" s="163" t="s">
        <v>376</v>
      </c>
      <c r="B553" s="31" t="s">
        <v>8</v>
      </c>
      <c r="C553" s="31" t="s">
        <v>381</v>
      </c>
      <c r="D553" s="31" t="s">
        <v>431</v>
      </c>
      <c r="E553" s="32">
        <v>410</v>
      </c>
      <c r="F553" s="29"/>
      <c r="G553" s="29"/>
      <c r="H553" s="258" t="e">
        <f t="shared" si="96"/>
        <v>#DIV/0!</v>
      </c>
      <c r="I553" s="124"/>
      <c r="J553" s="124"/>
      <c r="K553" s="124"/>
      <c r="L553" s="125"/>
      <c r="M553" s="125"/>
    </row>
    <row r="554" spans="1:13" s="164" customFormat="1" ht="30" hidden="1" x14ac:dyDescent="0.25">
      <c r="A554" s="165" t="s">
        <v>432</v>
      </c>
      <c r="B554" s="166" t="s">
        <v>8</v>
      </c>
      <c r="C554" s="166" t="s">
        <v>381</v>
      </c>
      <c r="D554" s="166" t="s">
        <v>431</v>
      </c>
      <c r="E554" s="167">
        <v>410</v>
      </c>
      <c r="F554" s="168"/>
      <c r="G554" s="168"/>
      <c r="H554" s="258" t="e">
        <f t="shared" si="96"/>
        <v>#DIV/0!</v>
      </c>
      <c r="I554" s="124"/>
      <c r="J554" s="124"/>
      <c r="K554" s="124"/>
      <c r="L554" s="125"/>
      <c r="M554" s="125"/>
    </row>
    <row r="555" spans="1:13" s="169" customFormat="1" x14ac:dyDescent="0.2">
      <c r="A555" s="33" t="s">
        <v>433</v>
      </c>
      <c r="B555" s="34" t="s">
        <v>8</v>
      </c>
      <c r="C555" s="34" t="s">
        <v>434</v>
      </c>
      <c r="D555" s="40"/>
      <c r="E555" s="106"/>
      <c r="F555" s="35">
        <f>F556+F561+F570</f>
        <v>5634.3</v>
      </c>
      <c r="G555" s="35">
        <f>G556+G561+G570</f>
        <v>3560.2999999999997</v>
      </c>
      <c r="H555" s="258">
        <f t="shared" si="96"/>
        <v>0.63189748504694454</v>
      </c>
      <c r="I555" s="124"/>
      <c r="J555" s="124"/>
      <c r="K555" s="124"/>
      <c r="L555" s="125"/>
      <c r="M555" s="125"/>
    </row>
    <row r="556" spans="1:13" s="45" customFormat="1" x14ac:dyDescent="0.2">
      <c r="A556" s="23" t="s">
        <v>67</v>
      </c>
      <c r="B556" s="15" t="s">
        <v>8</v>
      </c>
      <c r="C556" s="15" t="s">
        <v>434</v>
      </c>
      <c r="D556" s="15" t="s">
        <v>68</v>
      </c>
      <c r="E556" s="24" t="s">
        <v>4</v>
      </c>
      <c r="F556" s="25">
        <f t="shared" ref="F556:G559" si="99">F557</f>
        <v>150</v>
      </c>
      <c r="G556" s="25">
        <f t="shared" si="99"/>
        <v>150</v>
      </c>
      <c r="H556" s="258">
        <f t="shared" si="96"/>
        <v>1</v>
      </c>
      <c r="I556" s="124"/>
      <c r="J556" s="124"/>
      <c r="K556" s="124"/>
      <c r="L556" s="125"/>
      <c r="M556" s="125"/>
    </row>
    <row r="557" spans="1:13" s="45" customFormat="1" x14ac:dyDescent="0.2">
      <c r="A557" s="30" t="s">
        <v>33</v>
      </c>
      <c r="B557" s="31" t="s">
        <v>8</v>
      </c>
      <c r="C557" s="31" t="s">
        <v>434</v>
      </c>
      <c r="D557" s="31" t="s">
        <v>69</v>
      </c>
      <c r="E557" s="24"/>
      <c r="F557" s="29">
        <f t="shared" si="99"/>
        <v>150</v>
      </c>
      <c r="G557" s="29">
        <f t="shared" si="99"/>
        <v>150</v>
      </c>
      <c r="H557" s="258">
        <f t="shared" si="96"/>
        <v>1</v>
      </c>
      <c r="I557" s="124"/>
      <c r="J557" s="124"/>
      <c r="K557" s="124"/>
      <c r="L557" s="125"/>
      <c r="M557" s="125"/>
    </row>
    <row r="558" spans="1:13" s="45" customFormat="1" ht="31.5" x14ac:dyDescent="0.2">
      <c r="A558" s="81" t="s">
        <v>154</v>
      </c>
      <c r="B558" s="31" t="s">
        <v>8</v>
      </c>
      <c r="C558" s="31" t="s">
        <v>434</v>
      </c>
      <c r="D558" s="31" t="s">
        <v>71</v>
      </c>
      <c r="E558" s="31" t="s">
        <v>4</v>
      </c>
      <c r="F558" s="83">
        <f t="shared" si="99"/>
        <v>150</v>
      </c>
      <c r="G558" s="83">
        <f t="shared" si="99"/>
        <v>150</v>
      </c>
      <c r="H558" s="258">
        <f t="shared" si="96"/>
        <v>1</v>
      </c>
      <c r="I558" s="124"/>
      <c r="J558" s="124"/>
      <c r="K558" s="124"/>
      <c r="L558" s="125"/>
      <c r="M558" s="125"/>
    </row>
    <row r="559" spans="1:13" s="45" customFormat="1" ht="31.5" customHeight="1" x14ac:dyDescent="0.2">
      <c r="A559" s="43" t="s">
        <v>25</v>
      </c>
      <c r="B559" s="31" t="s">
        <v>8</v>
      </c>
      <c r="C559" s="31" t="s">
        <v>434</v>
      </c>
      <c r="D559" s="31" t="s">
        <v>71</v>
      </c>
      <c r="E559" s="31" t="s">
        <v>36</v>
      </c>
      <c r="F559" s="83">
        <f t="shared" si="99"/>
        <v>150</v>
      </c>
      <c r="G559" s="83">
        <f t="shared" si="99"/>
        <v>150</v>
      </c>
      <c r="H559" s="258">
        <f t="shared" si="96"/>
        <v>1</v>
      </c>
      <c r="I559" s="124"/>
      <c r="J559" s="124"/>
      <c r="K559" s="124"/>
      <c r="L559" s="125"/>
      <c r="M559" s="125"/>
    </row>
    <row r="560" spans="1:13" s="45" customFormat="1" ht="31.5" customHeight="1" x14ac:dyDescent="0.2">
      <c r="A560" s="43" t="s">
        <v>26</v>
      </c>
      <c r="B560" s="31" t="s">
        <v>8</v>
      </c>
      <c r="C560" s="31" t="s">
        <v>434</v>
      </c>
      <c r="D560" s="31" t="s">
        <v>71</v>
      </c>
      <c r="E560" s="31" t="s">
        <v>37</v>
      </c>
      <c r="F560" s="83">
        <v>150</v>
      </c>
      <c r="G560" s="83">
        <v>150</v>
      </c>
      <c r="H560" s="258">
        <f t="shared" si="96"/>
        <v>1</v>
      </c>
      <c r="I560" s="124"/>
      <c r="J560" s="124"/>
      <c r="K560" s="124"/>
      <c r="L560" s="125"/>
      <c r="M560" s="125"/>
    </row>
    <row r="561" spans="1:13" s="72" customFormat="1" ht="47.25" x14ac:dyDescent="0.2">
      <c r="A561" s="70" t="s">
        <v>435</v>
      </c>
      <c r="B561" s="170" t="s">
        <v>8</v>
      </c>
      <c r="C561" s="170" t="s">
        <v>434</v>
      </c>
      <c r="D561" s="53" t="s">
        <v>436</v>
      </c>
      <c r="E561" s="53"/>
      <c r="F561" s="65">
        <f>F562</f>
        <v>927</v>
      </c>
      <c r="G561" s="65">
        <f>G562</f>
        <v>926.1</v>
      </c>
      <c r="H561" s="258">
        <f t="shared" si="96"/>
        <v>0.9990291262135923</v>
      </c>
      <c r="I561" s="124"/>
      <c r="J561" s="124"/>
      <c r="K561" s="124"/>
      <c r="L561" s="125"/>
      <c r="M561" s="125"/>
    </row>
    <row r="562" spans="1:13" s="72" customFormat="1" ht="31.5" x14ac:dyDescent="0.2">
      <c r="A562" s="57" t="s">
        <v>437</v>
      </c>
      <c r="B562" s="58" t="s">
        <v>8</v>
      </c>
      <c r="C562" s="58" t="s">
        <v>434</v>
      </c>
      <c r="D562" s="58" t="s">
        <v>438</v>
      </c>
      <c r="E562" s="58"/>
      <c r="F562" s="82">
        <f>F563</f>
        <v>927</v>
      </c>
      <c r="G562" s="82">
        <f>G563</f>
        <v>926.1</v>
      </c>
      <c r="H562" s="258">
        <f t="shared" si="96"/>
        <v>0.9990291262135923</v>
      </c>
      <c r="I562" s="124"/>
      <c r="J562" s="124"/>
      <c r="K562" s="124"/>
      <c r="L562" s="125"/>
      <c r="M562" s="125"/>
    </row>
    <row r="563" spans="1:13" s="72" customFormat="1" ht="37.9" customHeight="1" x14ac:dyDescent="0.2">
      <c r="A563" s="57" t="s">
        <v>439</v>
      </c>
      <c r="B563" s="58" t="s">
        <v>8</v>
      </c>
      <c r="C563" s="58" t="s">
        <v>434</v>
      </c>
      <c r="D563" s="58" t="s">
        <v>440</v>
      </c>
      <c r="E563" s="58"/>
      <c r="F563" s="82">
        <f>F564+F567</f>
        <v>927</v>
      </c>
      <c r="G563" s="82">
        <f>G564+G567</f>
        <v>926.1</v>
      </c>
      <c r="H563" s="258">
        <f t="shared" si="96"/>
        <v>0.9990291262135923</v>
      </c>
      <c r="I563" s="124"/>
      <c r="J563" s="124"/>
      <c r="K563" s="124"/>
      <c r="L563" s="125"/>
      <c r="M563" s="125"/>
    </row>
    <row r="564" spans="1:13" s="72" customFormat="1" ht="31.5" x14ac:dyDescent="0.2">
      <c r="A564" s="57" t="s">
        <v>441</v>
      </c>
      <c r="B564" s="58" t="s">
        <v>8</v>
      </c>
      <c r="C564" s="58" t="s">
        <v>434</v>
      </c>
      <c r="D564" s="58" t="s">
        <v>442</v>
      </c>
      <c r="E564" s="58"/>
      <c r="F564" s="82">
        <f>F565</f>
        <v>927</v>
      </c>
      <c r="G564" s="82">
        <f>G565</f>
        <v>926.1</v>
      </c>
      <c r="H564" s="258">
        <f t="shared" si="96"/>
        <v>0.9990291262135923</v>
      </c>
      <c r="I564" s="124"/>
      <c r="J564" s="124"/>
      <c r="K564" s="124"/>
      <c r="L564" s="125"/>
      <c r="M564" s="125"/>
    </row>
    <row r="565" spans="1:13" s="72" customFormat="1" ht="31.5" x14ac:dyDescent="0.2">
      <c r="A565" s="57" t="s">
        <v>25</v>
      </c>
      <c r="B565" s="58" t="s">
        <v>8</v>
      </c>
      <c r="C565" s="58" t="s">
        <v>434</v>
      </c>
      <c r="D565" s="58" t="s">
        <v>442</v>
      </c>
      <c r="E565" s="58" t="s">
        <v>36</v>
      </c>
      <c r="F565" s="82">
        <f>F566</f>
        <v>927</v>
      </c>
      <c r="G565" s="82">
        <f>G566</f>
        <v>926.1</v>
      </c>
      <c r="H565" s="258">
        <f t="shared" si="96"/>
        <v>0.9990291262135923</v>
      </c>
      <c r="I565" s="124"/>
      <c r="J565" s="124"/>
      <c r="K565" s="124"/>
      <c r="L565" s="125"/>
      <c r="M565" s="125"/>
    </row>
    <row r="566" spans="1:13" s="72" customFormat="1" ht="31.5" x14ac:dyDescent="0.2">
      <c r="A566" s="57" t="s">
        <v>26</v>
      </c>
      <c r="B566" s="58" t="s">
        <v>8</v>
      </c>
      <c r="C566" s="58" t="s">
        <v>434</v>
      </c>
      <c r="D566" s="58" t="s">
        <v>442</v>
      </c>
      <c r="E566" s="58" t="s">
        <v>37</v>
      </c>
      <c r="F566" s="82">
        <f>3600-2673</f>
        <v>927</v>
      </c>
      <c r="G566" s="82">
        <v>926.1</v>
      </c>
      <c r="H566" s="258">
        <f t="shared" si="96"/>
        <v>0.9990291262135923</v>
      </c>
      <c r="I566" s="124"/>
      <c r="J566" s="124"/>
      <c r="K566" s="124"/>
      <c r="L566" s="125"/>
      <c r="M566" s="125"/>
    </row>
    <row r="567" spans="1:13" s="72" customFormat="1" ht="47.25" hidden="1" x14ac:dyDescent="0.2">
      <c r="A567" s="57" t="s">
        <v>443</v>
      </c>
      <c r="B567" s="58" t="s">
        <v>8</v>
      </c>
      <c r="C567" s="58" t="s">
        <v>434</v>
      </c>
      <c r="D567" s="58" t="s">
        <v>444</v>
      </c>
      <c r="E567" s="58"/>
      <c r="F567" s="82">
        <f>F568</f>
        <v>0</v>
      </c>
      <c r="G567" s="82">
        <f>G568</f>
        <v>0</v>
      </c>
      <c r="H567" s="258" t="e">
        <f t="shared" si="96"/>
        <v>#DIV/0!</v>
      </c>
      <c r="I567" s="124"/>
      <c r="J567" s="124"/>
      <c r="K567" s="124"/>
      <c r="L567" s="125"/>
      <c r="M567" s="125"/>
    </row>
    <row r="568" spans="1:13" s="72" customFormat="1" ht="31.5" hidden="1" x14ac:dyDescent="0.2">
      <c r="A568" s="57" t="s">
        <v>25</v>
      </c>
      <c r="B568" s="58" t="s">
        <v>8</v>
      </c>
      <c r="C568" s="58" t="s">
        <v>434</v>
      </c>
      <c r="D568" s="58" t="s">
        <v>444</v>
      </c>
      <c r="E568" s="58" t="s">
        <v>36</v>
      </c>
      <c r="F568" s="82">
        <f>F569</f>
        <v>0</v>
      </c>
      <c r="G568" s="82">
        <f>G569</f>
        <v>0</v>
      </c>
      <c r="H568" s="258" t="e">
        <f t="shared" si="96"/>
        <v>#DIV/0!</v>
      </c>
      <c r="I568" s="124"/>
      <c r="J568" s="124"/>
      <c r="K568" s="124"/>
      <c r="L568" s="125"/>
      <c r="M568" s="125"/>
    </row>
    <row r="569" spans="1:13" s="72" customFormat="1" ht="31.5" hidden="1" x14ac:dyDescent="0.2">
      <c r="A569" s="57" t="s">
        <v>26</v>
      </c>
      <c r="B569" s="58" t="s">
        <v>8</v>
      </c>
      <c r="C569" s="58" t="s">
        <v>434</v>
      </c>
      <c r="D569" s="58" t="s">
        <v>444</v>
      </c>
      <c r="E569" s="58" t="s">
        <v>37</v>
      </c>
      <c r="F569" s="82">
        <v>0</v>
      </c>
      <c r="G569" s="82">
        <v>0</v>
      </c>
      <c r="H569" s="258" t="e">
        <f t="shared" si="96"/>
        <v>#DIV/0!</v>
      </c>
      <c r="I569" s="124"/>
      <c r="J569" s="124"/>
      <c r="K569" s="124"/>
      <c r="L569" s="125"/>
      <c r="M569" s="125"/>
    </row>
    <row r="570" spans="1:13" s="72" customFormat="1" x14ac:dyDescent="0.2">
      <c r="A570" s="127" t="s">
        <v>197</v>
      </c>
      <c r="B570" s="53" t="s">
        <v>8</v>
      </c>
      <c r="C570" s="53" t="s">
        <v>434</v>
      </c>
      <c r="D570" s="53" t="s">
        <v>198</v>
      </c>
      <c r="E570" s="59"/>
      <c r="F570" s="48">
        <f>F571</f>
        <v>4557.3</v>
      </c>
      <c r="G570" s="48">
        <f>G571</f>
        <v>2484.1999999999998</v>
      </c>
      <c r="H570" s="258">
        <f t="shared" si="96"/>
        <v>0.54510346038224378</v>
      </c>
      <c r="I570" s="124"/>
      <c r="J570" s="124"/>
      <c r="K570" s="124"/>
      <c r="L570" s="125"/>
      <c r="M570" s="125"/>
    </row>
    <row r="571" spans="1:13" s="72" customFormat="1" ht="31.5" x14ac:dyDescent="0.2">
      <c r="A571" s="171" t="s">
        <v>445</v>
      </c>
      <c r="B571" s="58" t="s">
        <v>8</v>
      </c>
      <c r="C571" s="58" t="s">
        <v>434</v>
      </c>
      <c r="D571" s="58" t="s">
        <v>446</v>
      </c>
      <c r="E571" s="59"/>
      <c r="F571" s="49">
        <f>F572+F576</f>
        <v>4557.3</v>
      </c>
      <c r="G571" s="49">
        <f>G572+G576</f>
        <v>2484.1999999999998</v>
      </c>
      <c r="H571" s="258">
        <f t="shared" si="96"/>
        <v>0.54510346038224378</v>
      </c>
      <c r="I571" s="124"/>
      <c r="J571" s="124"/>
      <c r="K571" s="124"/>
      <c r="L571" s="125"/>
      <c r="M571" s="125"/>
    </row>
    <row r="572" spans="1:13" s="72" customFormat="1" ht="31.5" x14ac:dyDescent="0.2">
      <c r="A572" s="57" t="s">
        <v>25</v>
      </c>
      <c r="B572" s="58" t="s">
        <v>8</v>
      </c>
      <c r="C572" s="58" t="s">
        <v>434</v>
      </c>
      <c r="D572" s="58" t="s">
        <v>446</v>
      </c>
      <c r="E572" s="59">
        <v>200</v>
      </c>
      <c r="F572" s="49">
        <f>F573</f>
        <v>1885</v>
      </c>
      <c r="G572" s="49">
        <f>G573</f>
        <v>1558.1</v>
      </c>
      <c r="H572" s="258">
        <f t="shared" si="96"/>
        <v>0.82657824933686996</v>
      </c>
      <c r="I572" s="124"/>
      <c r="J572" s="124"/>
      <c r="K572" s="124"/>
      <c r="L572" s="125"/>
      <c r="M572" s="125"/>
    </row>
    <row r="573" spans="1:13" s="72" customFormat="1" ht="31.5" x14ac:dyDescent="0.2">
      <c r="A573" s="57" t="s">
        <v>26</v>
      </c>
      <c r="B573" s="58" t="s">
        <v>8</v>
      </c>
      <c r="C573" s="58" t="s">
        <v>434</v>
      </c>
      <c r="D573" s="58" t="s">
        <v>446</v>
      </c>
      <c r="E573" s="59">
        <v>240</v>
      </c>
      <c r="F573" s="49">
        <f>1773+12+100</f>
        <v>1885</v>
      </c>
      <c r="G573" s="49">
        <v>1558.1</v>
      </c>
      <c r="H573" s="258">
        <f t="shared" si="96"/>
        <v>0.82657824933686996</v>
      </c>
      <c r="I573" s="124"/>
      <c r="J573" s="124"/>
      <c r="K573" s="124"/>
      <c r="L573" s="125"/>
      <c r="M573" s="125"/>
    </row>
    <row r="574" spans="1:13" s="72" customFormat="1" hidden="1" x14ac:dyDescent="0.2">
      <c r="A574" s="57" t="s">
        <v>29</v>
      </c>
      <c r="B574" s="58" t="s">
        <v>8</v>
      </c>
      <c r="C574" s="58" t="s">
        <v>434</v>
      </c>
      <c r="D574" s="58" t="s">
        <v>446</v>
      </c>
      <c r="E574" s="58" t="s">
        <v>130</v>
      </c>
      <c r="F574" s="49">
        <f>F575</f>
        <v>0</v>
      </c>
      <c r="G574" s="49">
        <f>G575</f>
        <v>0</v>
      </c>
      <c r="H574" s="258" t="e">
        <f t="shared" si="96"/>
        <v>#DIV/0!</v>
      </c>
      <c r="I574" s="124"/>
      <c r="J574" s="124"/>
      <c r="K574" s="124"/>
      <c r="L574" s="125"/>
      <c r="M574" s="125"/>
    </row>
    <row r="575" spans="1:13" s="72" customFormat="1" hidden="1" x14ac:dyDescent="0.2">
      <c r="A575" s="57" t="s">
        <v>50</v>
      </c>
      <c r="B575" s="58" t="s">
        <v>8</v>
      </c>
      <c r="C575" s="58" t="s">
        <v>434</v>
      </c>
      <c r="D575" s="58" t="s">
        <v>446</v>
      </c>
      <c r="E575" s="58" t="s">
        <v>277</v>
      </c>
      <c r="F575" s="49">
        <f>3325-927-45-2353</f>
        <v>0</v>
      </c>
      <c r="G575" s="49">
        <f>3325-927-45-2353</f>
        <v>0</v>
      </c>
      <c r="H575" s="258" t="e">
        <f t="shared" si="96"/>
        <v>#DIV/0!</v>
      </c>
      <c r="I575" s="124"/>
      <c r="J575" s="124"/>
      <c r="K575" s="124"/>
      <c r="L575" s="125"/>
      <c r="M575" s="125"/>
    </row>
    <row r="576" spans="1:13" s="72" customFormat="1" ht="47.25" x14ac:dyDescent="0.2">
      <c r="A576" s="57" t="s">
        <v>447</v>
      </c>
      <c r="B576" s="58" t="s">
        <v>8</v>
      </c>
      <c r="C576" s="58" t="s">
        <v>434</v>
      </c>
      <c r="D576" s="58" t="s">
        <v>448</v>
      </c>
      <c r="E576" s="58"/>
      <c r="F576" s="49">
        <f>F577+F580</f>
        <v>2672.3</v>
      </c>
      <c r="G576" s="49">
        <f>G577+G580</f>
        <v>926.1</v>
      </c>
      <c r="H576" s="258">
        <f t="shared" si="96"/>
        <v>0.34655540171387944</v>
      </c>
      <c r="I576" s="124"/>
      <c r="J576" s="124"/>
      <c r="K576" s="124"/>
      <c r="L576" s="125"/>
      <c r="M576" s="125"/>
    </row>
    <row r="577" spans="1:13" s="72" customFormat="1" ht="31.5" x14ac:dyDescent="0.2">
      <c r="A577" s="57" t="s">
        <v>449</v>
      </c>
      <c r="B577" s="58" t="s">
        <v>8</v>
      </c>
      <c r="C577" s="58" t="s">
        <v>434</v>
      </c>
      <c r="D577" s="58" t="s">
        <v>450</v>
      </c>
      <c r="E577" s="59"/>
      <c r="F577" s="49">
        <f>F578</f>
        <v>927</v>
      </c>
      <c r="G577" s="49">
        <f>G578</f>
        <v>926.1</v>
      </c>
      <c r="H577" s="258">
        <f t="shared" si="96"/>
        <v>0.9990291262135923</v>
      </c>
      <c r="I577" s="124"/>
      <c r="J577" s="124"/>
      <c r="K577" s="124"/>
      <c r="L577" s="125"/>
      <c r="M577" s="125"/>
    </row>
    <row r="578" spans="1:13" s="72" customFormat="1" ht="31.5" x14ac:dyDescent="0.2">
      <c r="A578" s="57" t="s">
        <v>25</v>
      </c>
      <c r="B578" s="58" t="s">
        <v>8</v>
      </c>
      <c r="C578" s="58" t="s">
        <v>434</v>
      </c>
      <c r="D578" s="58" t="s">
        <v>450</v>
      </c>
      <c r="E578" s="59">
        <v>200</v>
      </c>
      <c r="F578" s="49">
        <f>F579</f>
        <v>927</v>
      </c>
      <c r="G578" s="49">
        <f>G579</f>
        <v>926.1</v>
      </c>
      <c r="H578" s="258">
        <f t="shared" si="96"/>
        <v>0.9990291262135923</v>
      </c>
      <c r="I578" s="124"/>
      <c r="J578" s="124"/>
      <c r="K578" s="124"/>
      <c r="L578" s="125"/>
      <c r="M578" s="125"/>
    </row>
    <row r="579" spans="1:13" s="60" customFormat="1" ht="31.5" x14ac:dyDescent="0.2">
      <c r="A579" s="57" t="s">
        <v>26</v>
      </c>
      <c r="B579" s="58" t="s">
        <v>8</v>
      </c>
      <c r="C579" s="58" t="s">
        <v>434</v>
      </c>
      <c r="D579" s="58" t="s">
        <v>450</v>
      </c>
      <c r="E579" s="59">
        <v>240</v>
      </c>
      <c r="F579" s="49">
        <v>927</v>
      </c>
      <c r="G579" s="49">
        <v>926.1</v>
      </c>
      <c r="H579" s="258">
        <f t="shared" si="96"/>
        <v>0.9990291262135923</v>
      </c>
      <c r="I579" s="124"/>
      <c r="J579" s="124"/>
      <c r="K579" s="124"/>
      <c r="L579" s="125"/>
      <c r="M579" s="125"/>
    </row>
    <row r="580" spans="1:13" s="60" customFormat="1" ht="48.6" customHeight="1" x14ac:dyDescent="0.2">
      <c r="A580" s="57" t="s">
        <v>451</v>
      </c>
      <c r="B580" s="58" t="s">
        <v>8</v>
      </c>
      <c r="C580" s="58" t="s">
        <v>434</v>
      </c>
      <c r="D580" s="58" t="s">
        <v>452</v>
      </c>
      <c r="E580" s="59"/>
      <c r="F580" s="49">
        <f>F581</f>
        <v>1745.3</v>
      </c>
      <c r="G580" s="49">
        <f>G581</f>
        <v>0</v>
      </c>
      <c r="H580" s="258">
        <f t="shared" si="96"/>
        <v>0</v>
      </c>
      <c r="I580" s="124"/>
      <c r="J580" s="124"/>
      <c r="K580" s="124"/>
      <c r="L580" s="125"/>
      <c r="M580" s="125"/>
    </row>
    <row r="581" spans="1:13" s="60" customFormat="1" ht="31.5" x14ac:dyDescent="0.2">
      <c r="A581" s="57" t="s">
        <v>25</v>
      </c>
      <c r="B581" s="58" t="s">
        <v>8</v>
      </c>
      <c r="C581" s="58" t="s">
        <v>434</v>
      </c>
      <c r="D581" s="58" t="s">
        <v>452</v>
      </c>
      <c r="E581" s="59">
        <v>200</v>
      </c>
      <c r="F581" s="49">
        <f>F582</f>
        <v>1745.3</v>
      </c>
      <c r="G581" s="49">
        <f>G582</f>
        <v>0</v>
      </c>
      <c r="H581" s="258">
        <f t="shared" si="96"/>
        <v>0</v>
      </c>
      <c r="I581" s="124"/>
      <c r="J581" s="124"/>
      <c r="K581" s="124"/>
      <c r="L581" s="125"/>
      <c r="M581" s="125"/>
    </row>
    <row r="582" spans="1:13" s="60" customFormat="1" ht="31.5" x14ac:dyDescent="0.2">
      <c r="A582" s="57" t="s">
        <v>26</v>
      </c>
      <c r="B582" s="58" t="s">
        <v>8</v>
      </c>
      <c r="C582" s="58" t="s">
        <v>434</v>
      </c>
      <c r="D582" s="58" t="s">
        <v>452</v>
      </c>
      <c r="E582" s="59">
        <v>240</v>
      </c>
      <c r="F582" s="49">
        <f>45+1700.3</f>
        <v>1745.3</v>
      </c>
      <c r="G582" s="49">
        <v>0</v>
      </c>
      <c r="H582" s="258">
        <f t="shared" si="96"/>
        <v>0</v>
      </c>
      <c r="I582" s="124"/>
      <c r="J582" s="124"/>
      <c r="K582" s="124"/>
      <c r="L582" s="125"/>
      <c r="M582" s="125"/>
    </row>
    <row r="583" spans="1:13" s="60" customFormat="1" ht="17.45" customHeight="1" x14ac:dyDescent="0.2">
      <c r="A583" s="70" t="s">
        <v>453</v>
      </c>
      <c r="B583" s="53" t="s">
        <v>8</v>
      </c>
      <c r="C583" s="53" t="s">
        <v>454</v>
      </c>
      <c r="D583" s="53"/>
      <c r="E583" s="54"/>
      <c r="F583" s="48">
        <f t="shared" ref="F583:G589" si="100">F584</f>
        <v>5543.0999999999995</v>
      </c>
      <c r="G583" s="48">
        <f t="shared" si="100"/>
        <v>598.9</v>
      </c>
      <c r="H583" s="258">
        <f t="shared" si="96"/>
        <v>0.10804423517526295</v>
      </c>
      <c r="I583" s="124"/>
      <c r="J583" s="124"/>
      <c r="K583" s="124"/>
      <c r="L583" s="125"/>
      <c r="M583" s="125"/>
    </row>
    <row r="584" spans="1:13" s="72" customFormat="1" ht="18" customHeight="1" x14ac:dyDescent="0.2">
      <c r="A584" s="172" t="s">
        <v>455</v>
      </c>
      <c r="B584" s="121" t="s">
        <v>8</v>
      </c>
      <c r="C584" s="121" t="s">
        <v>456</v>
      </c>
      <c r="D584" s="121"/>
      <c r="E584" s="122"/>
      <c r="F584" s="50">
        <f>F585+F591</f>
        <v>5543.0999999999995</v>
      </c>
      <c r="G584" s="50">
        <f>G585+G591</f>
        <v>598.9</v>
      </c>
      <c r="H584" s="258">
        <f t="shared" si="96"/>
        <v>0.10804423517526295</v>
      </c>
      <c r="I584" s="124"/>
      <c r="J584" s="124"/>
      <c r="K584" s="124"/>
      <c r="L584" s="125"/>
      <c r="M584" s="125"/>
    </row>
    <row r="585" spans="1:13" s="60" customFormat="1" ht="54" customHeight="1" x14ac:dyDescent="0.2">
      <c r="A585" s="70" t="s">
        <v>457</v>
      </c>
      <c r="B585" s="53" t="s">
        <v>8</v>
      </c>
      <c r="C585" s="53" t="s">
        <v>456</v>
      </c>
      <c r="D585" s="53" t="s">
        <v>436</v>
      </c>
      <c r="E585" s="54"/>
      <c r="F585" s="48">
        <f t="shared" si="100"/>
        <v>5308.2</v>
      </c>
      <c r="G585" s="48">
        <f t="shared" si="100"/>
        <v>481.5</v>
      </c>
      <c r="H585" s="258">
        <f t="shared" si="96"/>
        <v>9.0708714818582573E-2</v>
      </c>
      <c r="I585" s="124"/>
      <c r="J585" s="124"/>
      <c r="K585" s="124"/>
      <c r="L585" s="125"/>
      <c r="M585" s="125"/>
    </row>
    <row r="586" spans="1:13" s="60" customFormat="1" ht="32.450000000000003" customHeight="1" x14ac:dyDescent="0.2">
      <c r="A586" s="57" t="s">
        <v>458</v>
      </c>
      <c r="B586" s="58" t="s">
        <v>8</v>
      </c>
      <c r="C586" s="58" t="s">
        <v>456</v>
      </c>
      <c r="D586" s="58" t="s">
        <v>438</v>
      </c>
      <c r="E586" s="59"/>
      <c r="F586" s="49">
        <f t="shared" si="100"/>
        <v>5308.2</v>
      </c>
      <c r="G586" s="49">
        <f t="shared" si="100"/>
        <v>481.5</v>
      </c>
      <c r="H586" s="258">
        <f t="shared" ref="H586:H649" si="101">G586/F586</f>
        <v>9.0708714818582573E-2</v>
      </c>
      <c r="I586" s="124"/>
      <c r="J586" s="124"/>
      <c r="K586" s="124"/>
      <c r="L586" s="125"/>
      <c r="M586" s="125"/>
    </row>
    <row r="587" spans="1:13" s="60" customFormat="1" ht="38.450000000000003" customHeight="1" x14ac:dyDescent="0.2">
      <c r="A587" s="57" t="s">
        <v>459</v>
      </c>
      <c r="B587" s="58" t="s">
        <v>8</v>
      </c>
      <c r="C587" s="58" t="s">
        <v>456</v>
      </c>
      <c r="D587" s="58" t="s">
        <v>440</v>
      </c>
      <c r="E587" s="59"/>
      <c r="F587" s="49">
        <f>F588</f>
        <v>5308.2</v>
      </c>
      <c r="G587" s="49">
        <f>G588</f>
        <v>481.5</v>
      </c>
      <c r="H587" s="258">
        <f t="shared" si="101"/>
        <v>9.0708714818582573E-2</v>
      </c>
      <c r="I587" s="124"/>
      <c r="J587" s="124"/>
      <c r="K587" s="124"/>
      <c r="L587" s="125"/>
      <c r="M587" s="125"/>
    </row>
    <row r="588" spans="1:13" s="72" customFormat="1" ht="31.5" x14ac:dyDescent="0.2">
      <c r="A588" s="57" t="s">
        <v>460</v>
      </c>
      <c r="B588" s="58" t="s">
        <v>8</v>
      </c>
      <c r="C588" s="58" t="s">
        <v>456</v>
      </c>
      <c r="D588" s="58" t="s">
        <v>461</v>
      </c>
      <c r="E588" s="58"/>
      <c r="F588" s="82">
        <f t="shared" si="100"/>
        <v>5308.2</v>
      </c>
      <c r="G588" s="82">
        <f t="shared" si="100"/>
        <v>481.5</v>
      </c>
      <c r="H588" s="258">
        <f t="shared" si="101"/>
        <v>9.0708714818582573E-2</v>
      </c>
      <c r="I588" s="124"/>
      <c r="J588" s="124"/>
      <c r="K588" s="124"/>
      <c r="L588" s="125"/>
      <c r="M588" s="125"/>
    </row>
    <row r="589" spans="1:13" s="72" customFormat="1" ht="31.5" x14ac:dyDescent="0.2">
      <c r="A589" s="57" t="s">
        <v>25</v>
      </c>
      <c r="B589" s="58" t="s">
        <v>8</v>
      </c>
      <c r="C589" s="58" t="s">
        <v>456</v>
      </c>
      <c r="D589" s="58" t="s">
        <v>461</v>
      </c>
      <c r="E589" s="58" t="s">
        <v>36</v>
      </c>
      <c r="F589" s="82">
        <f t="shared" si="100"/>
        <v>5308.2</v>
      </c>
      <c r="G589" s="82">
        <f t="shared" si="100"/>
        <v>481.5</v>
      </c>
      <c r="H589" s="258">
        <f t="shared" si="101"/>
        <v>9.0708714818582573E-2</v>
      </c>
      <c r="I589" s="124"/>
      <c r="J589" s="124"/>
      <c r="K589" s="124"/>
      <c r="L589" s="125"/>
      <c r="M589" s="125"/>
    </row>
    <row r="590" spans="1:13" s="72" customFormat="1" ht="31.5" x14ac:dyDescent="0.2">
      <c r="A590" s="57" t="s">
        <v>26</v>
      </c>
      <c r="B590" s="58" t="s">
        <v>8</v>
      </c>
      <c r="C590" s="58" t="s">
        <v>456</v>
      </c>
      <c r="D590" s="58" t="s">
        <v>461</v>
      </c>
      <c r="E590" s="58" t="s">
        <v>37</v>
      </c>
      <c r="F590" s="82">
        <v>5308.2</v>
      </c>
      <c r="G590" s="82">
        <v>481.5</v>
      </c>
      <c r="H590" s="258">
        <f t="shared" si="101"/>
        <v>9.0708714818582573E-2</v>
      </c>
      <c r="I590" s="124"/>
      <c r="J590" s="124"/>
      <c r="K590" s="124"/>
      <c r="L590" s="125"/>
      <c r="M590" s="125"/>
    </row>
    <row r="591" spans="1:13" s="72" customFormat="1" x14ac:dyDescent="0.2">
      <c r="A591" s="127" t="s">
        <v>197</v>
      </c>
      <c r="B591" s="53" t="s">
        <v>8</v>
      </c>
      <c r="C591" s="53" t="s">
        <v>456</v>
      </c>
      <c r="D591" s="53" t="s">
        <v>198</v>
      </c>
      <c r="E591" s="59"/>
      <c r="F591" s="48">
        <f t="shared" ref="F591:G595" si="102">F592</f>
        <v>234.9</v>
      </c>
      <c r="G591" s="48">
        <f t="shared" si="102"/>
        <v>117.4</v>
      </c>
      <c r="H591" s="258">
        <f t="shared" si="101"/>
        <v>0.4997871434653044</v>
      </c>
      <c r="I591" s="124"/>
      <c r="J591" s="124"/>
      <c r="K591" s="124"/>
      <c r="L591" s="125"/>
      <c r="M591" s="125"/>
    </row>
    <row r="592" spans="1:13" s="72" customFormat="1" ht="31.5" x14ac:dyDescent="0.2">
      <c r="A592" s="171" t="s">
        <v>445</v>
      </c>
      <c r="B592" s="58" t="s">
        <v>8</v>
      </c>
      <c r="C592" s="58" t="s">
        <v>456</v>
      </c>
      <c r="D592" s="58" t="s">
        <v>446</v>
      </c>
      <c r="E592" s="59"/>
      <c r="F592" s="49">
        <f t="shared" si="102"/>
        <v>234.9</v>
      </c>
      <c r="G592" s="49">
        <f t="shared" si="102"/>
        <v>117.4</v>
      </c>
      <c r="H592" s="258">
        <f t="shared" si="101"/>
        <v>0.4997871434653044</v>
      </c>
      <c r="I592" s="124"/>
      <c r="J592" s="124"/>
      <c r="K592" s="124"/>
      <c r="L592" s="125"/>
      <c r="M592" s="125"/>
    </row>
    <row r="593" spans="1:13" s="72" customFormat="1" ht="47.25" x14ac:dyDescent="0.2">
      <c r="A593" s="57" t="s">
        <v>447</v>
      </c>
      <c r="B593" s="58" t="s">
        <v>8</v>
      </c>
      <c r="C593" s="58" t="s">
        <v>456</v>
      </c>
      <c r="D593" s="58" t="s">
        <v>448</v>
      </c>
      <c r="E593" s="58"/>
      <c r="F593" s="49">
        <f t="shared" si="102"/>
        <v>234.9</v>
      </c>
      <c r="G593" s="49">
        <f t="shared" si="102"/>
        <v>117.4</v>
      </c>
      <c r="H593" s="258">
        <f t="shared" si="101"/>
        <v>0.4997871434653044</v>
      </c>
      <c r="I593" s="124"/>
      <c r="J593" s="124"/>
      <c r="K593" s="124"/>
      <c r="L593" s="125"/>
      <c r="M593" s="125"/>
    </row>
    <row r="594" spans="1:13" s="60" customFormat="1" ht="31.5" x14ac:dyDescent="0.2">
      <c r="A594" s="57" t="s">
        <v>462</v>
      </c>
      <c r="B594" s="58" t="s">
        <v>8</v>
      </c>
      <c r="C594" s="58" t="s">
        <v>456</v>
      </c>
      <c r="D594" s="58" t="s">
        <v>463</v>
      </c>
      <c r="E594" s="59"/>
      <c r="F594" s="49">
        <f t="shared" si="102"/>
        <v>234.9</v>
      </c>
      <c r="G594" s="49">
        <f t="shared" si="102"/>
        <v>117.4</v>
      </c>
      <c r="H594" s="258">
        <f t="shared" si="101"/>
        <v>0.4997871434653044</v>
      </c>
      <c r="I594" s="124"/>
      <c r="J594" s="124"/>
      <c r="K594" s="124"/>
      <c r="L594" s="125"/>
      <c r="M594" s="125"/>
    </row>
    <row r="595" spans="1:13" s="60" customFormat="1" ht="31.5" x14ac:dyDescent="0.2">
      <c r="A595" s="57" t="s">
        <v>25</v>
      </c>
      <c r="B595" s="58" t="s">
        <v>8</v>
      </c>
      <c r="C595" s="58" t="s">
        <v>456</v>
      </c>
      <c r="D595" s="58" t="s">
        <v>463</v>
      </c>
      <c r="E595" s="59">
        <v>200</v>
      </c>
      <c r="F595" s="49">
        <f t="shared" si="102"/>
        <v>234.9</v>
      </c>
      <c r="G595" s="49">
        <f t="shared" si="102"/>
        <v>117.4</v>
      </c>
      <c r="H595" s="258">
        <f t="shared" si="101"/>
        <v>0.4997871434653044</v>
      </c>
      <c r="I595" s="124"/>
      <c r="J595" s="124"/>
      <c r="K595" s="124"/>
      <c r="L595" s="125"/>
      <c r="M595" s="125"/>
    </row>
    <row r="596" spans="1:13" s="60" customFormat="1" ht="47.25" x14ac:dyDescent="0.2">
      <c r="A596" s="57" t="s">
        <v>464</v>
      </c>
      <c r="B596" s="58" t="s">
        <v>8</v>
      </c>
      <c r="C596" s="58" t="s">
        <v>456</v>
      </c>
      <c r="D596" s="58" t="s">
        <v>463</v>
      </c>
      <c r="E596" s="59">
        <v>240</v>
      </c>
      <c r="F596" s="49">
        <v>234.9</v>
      </c>
      <c r="G596" s="49">
        <v>117.4</v>
      </c>
      <c r="H596" s="258">
        <f t="shared" si="101"/>
        <v>0.4997871434653044</v>
      </c>
      <c r="I596" s="124"/>
      <c r="J596" s="124"/>
      <c r="K596" s="124"/>
      <c r="L596" s="125"/>
      <c r="M596" s="125"/>
    </row>
    <row r="597" spans="1:13" s="102" customFormat="1" x14ac:dyDescent="0.2">
      <c r="A597" s="92" t="s">
        <v>465</v>
      </c>
      <c r="B597" s="93" t="s">
        <v>8</v>
      </c>
      <c r="C597" s="93" t="s">
        <v>466</v>
      </c>
      <c r="D597" s="93"/>
      <c r="E597" s="93"/>
      <c r="F597" s="95">
        <f>F598+F628</f>
        <v>134454.69999999998</v>
      </c>
      <c r="G597" s="95">
        <f>G598+G628</f>
        <v>84193.099999999991</v>
      </c>
      <c r="H597" s="258">
        <f t="shared" si="101"/>
        <v>0.6261819036448707</v>
      </c>
      <c r="I597" s="124"/>
      <c r="J597" s="124"/>
      <c r="K597" s="124"/>
      <c r="L597" s="125"/>
      <c r="M597" s="125"/>
    </row>
    <row r="598" spans="1:13" s="102" customFormat="1" x14ac:dyDescent="0.2">
      <c r="A598" s="33" t="s">
        <v>467</v>
      </c>
      <c r="B598" s="34" t="s">
        <v>8</v>
      </c>
      <c r="C598" s="34" t="s">
        <v>468</v>
      </c>
      <c r="D598" s="144"/>
      <c r="E598" s="144"/>
      <c r="F598" s="173">
        <f>F599+F606+F613</f>
        <v>134444.69999999998</v>
      </c>
      <c r="G598" s="173">
        <f>G599+G606+G613</f>
        <v>84183.099999999991</v>
      </c>
      <c r="H598" s="258">
        <f t="shared" si="101"/>
        <v>0.62615409904592745</v>
      </c>
      <c r="I598" s="124"/>
      <c r="J598" s="124"/>
      <c r="K598" s="124"/>
      <c r="L598" s="125"/>
      <c r="M598" s="125"/>
    </row>
    <row r="599" spans="1:13" s="116" customFormat="1" ht="39" customHeight="1" x14ac:dyDescent="0.2">
      <c r="A599" s="23" t="s">
        <v>469</v>
      </c>
      <c r="B599" s="174" t="s">
        <v>8</v>
      </c>
      <c r="C599" s="174" t="s">
        <v>468</v>
      </c>
      <c r="D599" s="93" t="s">
        <v>470</v>
      </c>
      <c r="E599" s="93"/>
      <c r="F599" s="95">
        <f t="shared" ref="F599:G603" si="103">F600</f>
        <v>134366.79999999999</v>
      </c>
      <c r="G599" s="95">
        <f t="shared" si="103"/>
        <v>84144.9</v>
      </c>
      <c r="H599" s="258">
        <f t="shared" si="101"/>
        <v>0.62623281941670117</v>
      </c>
      <c r="I599" s="124"/>
      <c r="J599" s="124"/>
      <c r="K599" s="124"/>
      <c r="L599" s="125"/>
      <c r="M599" s="125"/>
    </row>
    <row r="600" spans="1:13" s="177" customFormat="1" ht="18" customHeight="1" x14ac:dyDescent="0.2">
      <c r="A600" s="175" t="s">
        <v>471</v>
      </c>
      <c r="B600" s="100" t="s">
        <v>8</v>
      </c>
      <c r="C600" s="100" t="s">
        <v>468</v>
      </c>
      <c r="D600" s="101" t="s">
        <v>472</v>
      </c>
      <c r="E600" s="100"/>
      <c r="F600" s="176">
        <f t="shared" si="103"/>
        <v>134366.79999999999</v>
      </c>
      <c r="G600" s="176">
        <f t="shared" si="103"/>
        <v>84144.9</v>
      </c>
      <c r="H600" s="258">
        <f t="shared" si="101"/>
        <v>0.62623281941670117</v>
      </c>
      <c r="I600" s="124"/>
      <c r="J600" s="124"/>
      <c r="K600" s="124"/>
      <c r="L600" s="125"/>
      <c r="M600" s="125"/>
    </row>
    <row r="601" spans="1:13" s="102" customFormat="1" ht="45" customHeight="1" x14ac:dyDescent="0.2">
      <c r="A601" s="175" t="s">
        <v>473</v>
      </c>
      <c r="B601" s="100" t="s">
        <v>8</v>
      </c>
      <c r="C601" s="100" t="s">
        <v>468</v>
      </c>
      <c r="D601" s="101" t="s">
        <v>474</v>
      </c>
      <c r="E601" s="100"/>
      <c r="F601" s="176">
        <f t="shared" si="103"/>
        <v>134366.79999999999</v>
      </c>
      <c r="G601" s="176">
        <f t="shared" si="103"/>
        <v>84144.9</v>
      </c>
      <c r="H601" s="258">
        <f t="shared" si="101"/>
        <v>0.62623281941670117</v>
      </c>
      <c r="I601" s="124"/>
      <c r="J601" s="124"/>
      <c r="K601" s="124"/>
      <c r="L601" s="125"/>
      <c r="M601" s="125"/>
    </row>
    <row r="602" spans="1:13" s="102" customFormat="1" ht="67.150000000000006" customHeight="1" x14ac:dyDescent="0.2">
      <c r="A602" s="175" t="s">
        <v>475</v>
      </c>
      <c r="B602" s="100" t="s">
        <v>8</v>
      </c>
      <c r="C602" s="100" t="s">
        <v>468</v>
      </c>
      <c r="D602" s="101" t="s">
        <v>476</v>
      </c>
      <c r="E602" s="100"/>
      <c r="F602" s="176">
        <f t="shared" si="103"/>
        <v>134366.79999999999</v>
      </c>
      <c r="G602" s="176">
        <f t="shared" si="103"/>
        <v>84144.9</v>
      </c>
      <c r="H602" s="258">
        <f t="shared" si="101"/>
        <v>0.62623281941670117</v>
      </c>
      <c r="I602" s="124"/>
      <c r="J602" s="124"/>
      <c r="K602" s="124"/>
      <c r="L602" s="125"/>
      <c r="M602" s="125"/>
    </row>
    <row r="603" spans="1:13" s="102" customFormat="1" ht="31.5" x14ac:dyDescent="0.2">
      <c r="A603" s="175" t="s">
        <v>374</v>
      </c>
      <c r="B603" s="100" t="s">
        <v>8</v>
      </c>
      <c r="C603" s="100" t="s">
        <v>468</v>
      </c>
      <c r="D603" s="101" t="s">
        <v>476</v>
      </c>
      <c r="E603" s="100" t="s">
        <v>375</v>
      </c>
      <c r="F603" s="176">
        <f t="shared" si="103"/>
        <v>134366.79999999999</v>
      </c>
      <c r="G603" s="176">
        <f t="shared" si="103"/>
        <v>84144.9</v>
      </c>
      <c r="H603" s="258">
        <f t="shared" si="101"/>
        <v>0.62623281941670117</v>
      </c>
      <c r="I603" s="124"/>
      <c r="J603" s="124"/>
      <c r="K603" s="124"/>
      <c r="L603" s="125"/>
      <c r="M603" s="125"/>
    </row>
    <row r="604" spans="1:13" s="102" customFormat="1" ht="19.149999999999999" customHeight="1" x14ac:dyDescent="0.2">
      <c r="A604" s="175" t="s">
        <v>376</v>
      </c>
      <c r="B604" s="100" t="s">
        <v>8</v>
      </c>
      <c r="C604" s="100" t="s">
        <v>468</v>
      </c>
      <c r="D604" s="101" t="s">
        <v>476</v>
      </c>
      <c r="E604" s="100" t="s">
        <v>377</v>
      </c>
      <c r="F604" s="176">
        <v>134366.79999999999</v>
      </c>
      <c r="G604" s="176">
        <v>84144.9</v>
      </c>
      <c r="H604" s="258">
        <f t="shared" si="101"/>
        <v>0.62623281941670117</v>
      </c>
      <c r="I604" s="124"/>
      <c r="J604" s="124"/>
      <c r="K604" s="124"/>
      <c r="L604" s="125"/>
      <c r="M604" s="125"/>
    </row>
    <row r="605" spans="1:13" s="5" customFormat="1" ht="34.15" customHeight="1" x14ac:dyDescent="0.2">
      <c r="A605" s="178" t="s">
        <v>477</v>
      </c>
      <c r="B605" s="108" t="s">
        <v>8</v>
      </c>
      <c r="C605" s="108" t="s">
        <v>468</v>
      </c>
      <c r="D605" s="101" t="s">
        <v>476</v>
      </c>
      <c r="E605" s="108" t="s">
        <v>377</v>
      </c>
      <c r="F605" s="87">
        <v>134366.79999999999</v>
      </c>
      <c r="G605" s="87">
        <v>84144.9</v>
      </c>
      <c r="H605" s="258">
        <f t="shared" si="101"/>
        <v>0.62623281941670117</v>
      </c>
      <c r="I605" s="124"/>
      <c r="J605" s="124"/>
      <c r="K605" s="124"/>
      <c r="L605" s="125"/>
      <c r="M605" s="125"/>
    </row>
    <row r="606" spans="1:13" s="102" customFormat="1" x14ac:dyDescent="0.2">
      <c r="A606" s="23" t="s">
        <v>197</v>
      </c>
      <c r="B606" s="179" t="s">
        <v>8</v>
      </c>
      <c r="C606" s="179" t="s">
        <v>468</v>
      </c>
      <c r="D606" s="93" t="s">
        <v>470</v>
      </c>
      <c r="E606" s="180"/>
      <c r="F606" s="181">
        <f t="shared" ref="F606:G610" si="104">F607</f>
        <v>27.1</v>
      </c>
      <c r="G606" s="182">
        <f t="shared" si="104"/>
        <v>22</v>
      </c>
      <c r="H606" s="258">
        <f t="shared" si="101"/>
        <v>0.81180811808118081</v>
      </c>
      <c r="I606" s="124"/>
      <c r="J606" s="124"/>
      <c r="K606" s="124"/>
      <c r="L606" s="125"/>
      <c r="M606" s="125"/>
    </row>
    <row r="607" spans="1:13" s="102" customFormat="1" ht="31.5" x14ac:dyDescent="0.2">
      <c r="A607" s="183" t="s">
        <v>478</v>
      </c>
      <c r="B607" s="184" t="s">
        <v>8</v>
      </c>
      <c r="C607" s="184" t="s">
        <v>468</v>
      </c>
      <c r="D607" s="101" t="s">
        <v>476</v>
      </c>
      <c r="E607" s="185"/>
      <c r="F607" s="186">
        <f t="shared" si="104"/>
        <v>27.1</v>
      </c>
      <c r="G607" s="186">
        <f t="shared" si="104"/>
        <v>22</v>
      </c>
      <c r="H607" s="258">
        <f t="shared" si="101"/>
        <v>0.81180811808118081</v>
      </c>
      <c r="I607" s="124"/>
      <c r="J607" s="124"/>
      <c r="K607" s="124"/>
      <c r="L607" s="125"/>
      <c r="M607" s="125"/>
    </row>
    <row r="608" spans="1:13" s="102" customFormat="1" ht="94.5" x14ac:dyDescent="0.2">
      <c r="A608" s="183" t="s">
        <v>479</v>
      </c>
      <c r="B608" s="100" t="s">
        <v>8</v>
      </c>
      <c r="C608" s="100" t="s">
        <v>468</v>
      </c>
      <c r="D608" s="101" t="s">
        <v>476</v>
      </c>
      <c r="E608" s="185"/>
      <c r="F608" s="186">
        <f t="shared" si="104"/>
        <v>27.1</v>
      </c>
      <c r="G608" s="186">
        <f t="shared" si="104"/>
        <v>22</v>
      </c>
      <c r="H608" s="258">
        <f t="shared" si="101"/>
        <v>0.81180811808118081</v>
      </c>
      <c r="I608" s="124"/>
      <c r="J608" s="124"/>
      <c r="K608" s="124"/>
      <c r="L608" s="125"/>
      <c r="M608" s="125"/>
    </row>
    <row r="609" spans="1:13" s="177" customFormat="1" ht="60.6" customHeight="1" x14ac:dyDescent="0.2">
      <c r="A609" s="175" t="s">
        <v>480</v>
      </c>
      <c r="B609" s="100" t="s">
        <v>8</v>
      </c>
      <c r="C609" s="100" t="s">
        <v>468</v>
      </c>
      <c r="D609" s="101" t="s">
        <v>476</v>
      </c>
      <c r="E609" s="100"/>
      <c r="F609" s="176">
        <f t="shared" si="104"/>
        <v>27.1</v>
      </c>
      <c r="G609" s="176">
        <f t="shared" si="104"/>
        <v>22</v>
      </c>
      <c r="H609" s="258">
        <f t="shared" si="101"/>
        <v>0.81180811808118081</v>
      </c>
      <c r="I609" s="124"/>
      <c r="J609" s="124"/>
      <c r="K609" s="124"/>
      <c r="L609" s="125"/>
      <c r="M609" s="125"/>
    </row>
    <row r="610" spans="1:13" s="5" customFormat="1" ht="31.5" x14ac:dyDescent="0.2">
      <c r="A610" s="175" t="s">
        <v>374</v>
      </c>
      <c r="B610" s="100" t="s">
        <v>8</v>
      </c>
      <c r="C610" s="31" t="s">
        <v>468</v>
      </c>
      <c r="D610" s="101" t="s">
        <v>476</v>
      </c>
      <c r="E610" s="100" t="s">
        <v>375</v>
      </c>
      <c r="F610" s="83">
        <f t="shared" si="104"/>
        <v>27.1</v>
      </c>
      <c r="G610" s="83">
        <f t="shared" si="104"/>
        <v>22</v>
      </c>
      <c r="H610" s="258">
        <f t="shared" si="101"/>
        <v>0.81180811808118081</v>
      </c>
      <c r="I610" s="124"/>
      <c r="J610" s="124"/>
      <c r="K610" s="124"/>
      <c r="L610" s="125"/>
      <c r="M610" s="125"/>
    </row>
    <row r="611" spans="1:13" s="5" customFormat="1" x14ac:dyDescent="0.2">
      <c r="A611" s="175" t="s">
        <v>376</v>
      </c>
      <c r="B611" s="100" t="s">
        <v>8</v>
      </c>
      <c r="C611" s="31" t="s">
        <v>468</v>
      </c>
      <c r="D611" s="101" t="s">
        <v>476</v>
      </c>
      <c r="E611" s="100" t="s">
        <v>377</v>
      </c>
      <c r="F611" s="83">
        <v>27.1</v>
      </c>
      <c r="G611" s="83">
        <v>22</v>
      </c>
      <c r="H611" s="258">
        <f t="shared" si="101"/>
        <v>0.81180811808118081</v>
      </c>
      <c r="I611" s="124"/>
      <c r="J611" s="124"/>
      <c r="K611" s="124"/>
      <c r="L611" s="125"/>
      <c r="M611" s="125"/>
    </row>
    <row r="612" spans="1:13" s="5" customFormat="1" ht="34.15" customHeight="1" x14ac:dyDescent="0.2">
      <c r="A612" s="178" t="s">
        <v>477</v>
      </c>
      <c r="B612" s="108" t="s">
        <v>8</v>
      </c>
      <c r="C612" s="108" t="s">
        <v>468</v>
      </c>
      <c r="D612" s="187" t="s">
        <v>476</v>
      </c>
      <c r="E612" s="108" t="s">
        <v>377</v>
      </c>
      <c r="F612" s="87">
        <v>27.1</v>
      </c>
      <c r="G612" s="87">
        <v>22</v>
      </c>
      <c r="H612" s="258">
        <f t="shared" si="101"/>
        <v>0.81180811808118081</v>
      </c>
      <c r="I612" s="124"/>
      <c r="J612" s="124"/>
      <c r="K612" s="124"/>
      <c r="L612" s="125"/>
      <c r="M612" s="125"/>
    </row>
    <row r="613" spans="1:13" s="102" customFormat="1" x14ac:dyDescent="0.2">
      <c r="A613" s="23" t="s">
        <v>197</v>
      </c>
      <c r="B613" s="179" t="s">
        <v>8</v>
      </c>
      <c r="C613" s="179" t="s">
        <v>468</v>
      </c>
      <c r="D613" s="94" t="s">
        <v>198</v>
      </c>
      <c r="E613" s="180"/>
      <c r="F613" s="181">
        <f t="shared" ref="F613:G617" si="105">F614</f>
        <v>50.8</v>
      </c>
      <c r="G613" s="181">
        <f t="shared" si="105"/>
        <v>16.2</v>
      </c>
      <c r="H613" s="258">
        <f t="shared" si="101"/>
        <v>0.31889763779527558</v>
      </c>
      <c r="I613" s="124"/>
      <c r="J613" s="124"/>
      <c r="K613" s="124"/>
      <c r="L613" s="125"/>
      <c r="M613" s="125"/>
    </row>
    <row r="614" spans="1:13" s="102" customFormat="1" ht="31.5" x14ac:dyDescent="0.2">
      <c r="A614" s="183" t="s">
        <v>478</v>
      </c>
      <c r="B614" s="184" t="s">
        <v>8</v>
      </c>
      <c r="C614" s="184" t="s">
        <v>468</v>
      </c>
      <c r="D614" s="109" t="s">
        <v>481</v>
      </c>
      <c r="E614" s="185"/>
      <c r="F614" s="186">
        <f t="shared" si="105"/>
        <v>50.8</v>
      </c>
      <c r="G614" s="186">
        <f t="shared" si="105"/>
        <v>16.2</v>
      </c>
      <c r="H614" s="258">
        <f t="shared" si="101"/>
        <v>0.31889763779527558</v>
      </c>
      <c r="I614" s="124"/>
      <c r="J614" s="124"/>
      <c r="K614" s="124"/>
      <c r="L614" s="125"/>
      <c r="M614" s="125"/>
    </row>
    <row r="615" spans="1:13" s="102" customFormat="1" ht="94.5" x14ac:dyDescent="0.2">
      <c r="A615" s="183" t="s">
        <v>479</v>
      </c>
      <c r="B615" s="100" t="s">
        <v>8</v>
      </c>
      <c r="C615" s="100" t="s">
        <v>468</v>
      </c>
      <c r="D615" s="101" t="s">
        <v>482</v>
      </c>
      <c r="E615" s="185"/>
      <c r="F615" s="186">
        <f t="shared" si="105"/>
        <v>50.8</v>
      </c>
      <c r="G615" s="186">
        <f t="shared" si="105"/>
        <v>16.2</v>
      </c>
      <c r="H615" s="258">
        <f t="shared" si="101"/>
        <v>0.31889763779527558</v>
      </c>
      <c r="I615" s="124"/>
      <c r="J615" s="124"/>
      <c r="K615" s="124"/>
      <c r="L615" s="125"/>
      <c r="M615" s="125"/>
    </row>
    <row r="616" spans="1:13" s="177" customFormat="1" ht="60.6" customHeight="1" x14ac:dyDescent="0.2">
      <c r="A616" s="175" t="s">
        <v>480</v>
      </c>
      <c r="B616" s="100" t="s">
        <v>8</v>
      </c>
      <c r="C616" s="100" t="s">
        <v>468</v>
      </c>
      <c r="D616" s="101" t="s">
        <v>483</v>
      </c>
      <c r="E616" s="100"/>
      <c r="F616" s="176">
        <f t="shared" si="105"/>
        <v>50.8</v>
      </c>
      <c r="G616" s="176">
        <f t="shared" si="105"/>
        <v>16.2</v>
      </c>
      <c r="H616" s="258">
        <f t="shared" si="101"/>
        <v>0.31889763779527558</v>
      </c>
      <c r="I616" s="124"/>
      <c r="J616" s="124"/>
      <c r="K616" s="124"/>
      <c r="L616" s="125"/>
      <c r="M616" s="125"/>
    </row>
    <row r="617" spans="1:13" s="5" customFormat="1" ht="31.5" x14ac:dyDescent="0.2">
      <c r="A617" s="175" t="s">
        <v>374</v>
      </c>
      <c r="B617" s="100" t="s">
        <v>8</v>
      </c>
      <c r="C617" s="31" t="s">
        <v>468</v>
      </c>
      <c r="D617" s="101" t="s">
        <v>483</v>
      </c>
      <c r="E617" s="100" t="s">
        <v>375</v>
      </c>
      <c r="F617" s="83">
        <f t="shared" si="105"/>
        <v>50.8</v>
      </c>
      <c r="G617" s="83">
        <f t="shared" si="105"/>
        <v>16.2</v>
      </c>
      <c r="H617" s="258">
        <f t="shared" si="101"/>
        <v>0.31889763779527558</v>
      </c>
      <c r="I617" s="124"/>
      <c r="J617" s="124"/>
      <c r="K617" s="124"/>
      <c r="L617" s="125"/>
      <c r="M617" s="125"/>
    </row>
    <row r="618" spans="1:13" s="5" customFormat="1" x14ac:dyDescent="0.2">
      <c r="A618" s="175" t="s">
        <v>376</v>
      </c>
      <c r="B618" s="100" t="s">
        <v>8</v>
      </c>
      <c r="C618" s="31" t="s">
        <v>468</v>
      </c>
      <c r="D618" s="101" t="s">
        <v>483</v>
      </c>
      <c r="E618" s="100" t="s">
        <v>377</v>
      </c>
      <c r="F618" s="83">
        <v>50.8</v>
      </c>
      <c r="G618" s="83">
        <v>16.2</v>
      </c>
      <c r="H618" s="258">
        <f t="shared" si="101"/>
        <v>0.31889763779527558</v>
      </c>
      <c r="I618" s="124"/>
      <c r="J618" s="124"/>
      <c r="K618" s="124"/>
      <c r="L618" s="125"/>
      <c r="M618" s="125"/>
    </row>
    <row r="619" spans="1:13" s="5" customFormat="1" ht="34.15" customHeight="1" x14ac:dyDescent="0.2">
      <c r="A619" s="178" t="s">
        <v>477</v>
      </c>
      <c r="B619" s="108" t="s">
        <v>8</v>
      </c>
      <c r="C619" s="108" t="s">
        <v>468</v>
      </c>
      <c r="D619" s="101" t="s">
        <v>483</v>
      </c>
      <c r="E619" s="108" t="s">
        <v>377</v>
      </c>
      <c r="F619" s="87">
        <v>50.8</v>
      </c>
      <c r="G619" s="87">
        <v>16.2</v>
      </c>
      <c r="H619" s="258">
        <f t="shared" si="101"/>
        <v>0.31889763779527558</v>
      </c>
      <c r="I619" s="124"/>
      <c r="J619" s="124"/>
      <c r="K619" s="124"/>
      <c r="L619" s="125"/>
      <c r="M619" s="125"/>
    </row>
    <row r="620" spans="1:13" s="96" customFormat="1" hidden="1" x14ac:dyDescent="0.2">
      <c r="A620" s="188" t="s">
        <v>484</v>
      </c>
      <c r="B620" s="93" t="s">
        <v>8</v>
      </c>
      <c r="C620" s="93" t="s">
        <v>485</v>
      </c>
      <c r="D620" s="93" t="s">
        <v>486</v>
      </c>
      <c r="E620" s="93"/>
      <c r="F620" s="137">
        <f>F621</f>
        <v>0</v>
      </c>
      <c r="G620" s="137">
        <f>G621</f>
        <v>0</v>
      </c>
      <c r="H620" s="258" t="e">
        <f t="shared" si="101"/>
        <v>#DIV/0!</v>
      </c>
      <c r="I620" s="124"/>
      <c r="J620" s="124"/>
      <c r="K620" s="124"/>
      <c r="L620" s="125"/>
      <c r="M620" s="125"/>
    </row>
    <row r="621" spans="1:13" s="5" customFormat="1" ht="31.5" hidden="1" x14ac:dyDescent="0.2">
      <c r="A621" s="81" t="s">
        <v>138</v>
      </c>
      <c r="B621" s="31" t="s">
        <v>8</v>
      </c>
      <c r="C621" s="31" t="s">
        <v>485</v>
      </c>
      <c r="D621" s="31" t="s">
        <v>487</v>
      </c>
      <c r="E621" s="31"/>
      <c r="F621" s="83">
        <f>F622+F624+F626</f>
        <v>0</v>
      </c>
      <c r="G621" s="83">
        <f>G622+G624+G626</f>
        <v>0</v>
      </c>
      <c r="H621" s="258" t="e">
        <f t="shared" si="101"/>
        <v>#DIV/0!</v>
      </c>
      <c r="I621" s="124"/>
      <c r="J621" s="124"/>
      <c r="K621" s="124"/>
      <c r="L621" s="125"/>
      <c r="M621" s="125"/>
    </row>
    <row r="622" spans="1:13" s="5" customFormat="1" ht="78.75" hidden="1" x14ac:dyDescent="0.2">
      <c r="A622" s="89" t="s">
        <v>23</v>
      </c>
      <c r="B622" s="31" t="s">
        <v>8</v>
      </c>
      <c r="C622" s="31" t="s">
        <v>485</v>
      </c>
      <c r="D622" s="31" t="s">
        <v>487</v>
      </c>
      <c r="E622" s="31" t="s">
        <v>43</v>
      </c>
      <c r="F622" s="83">
        <f>F623</f>
        <v>0</v>
      </c>
      <c r="G622" s="83">
        <f>G623</f>
        <v>0</v>
      </c>
      <c r="H622" s="258" t="e">
        <f t="shared" si="101"/>
        <v>#DIV/0!</v>
      </c>
      <c r="I622" s="124"/>
      <c r="J622" s="124"/>
      <c r="K622" s="124"/>
      <c r="L622" s="125"/>
      <c r="M622" s="125"/>
    </row>
    <row r="623" spans="1:13" s="5" customFormat="1" hidden="1" x14ac:dyDescent="0.2">
      <c r="A623" s="89" t="s">
        <v>142</v>
      </c>
      <c r="B623" s="31" t="s">
        <v>8</v>
      </c>
      <c r="C623" s="31" t="s">
        <v>485</v>
      </c>
      <c r="D623" s="31" t="s">
        <v>487</v>
      </c>
      <c r="E623" s="31" t="s">
        <v>143</v>
      </c>
      <c r="F623" s="83">
        <v>0</v>
      </c>
      <c r="G623" s="83">
        <v>0</v>
      </c>
      <c r="H623" s="258" t="e">
        <f t="shared" si="101"/>
        <v>#DIV/0!</v>
      </c>
      <c r="I623" s="124"/>
      <c r="J623" s="124"/>
      <c r="K623" s="124"/>
      <c r="L623" s="125"/>
      <c r="M623" s="125"/>
    </row>
    <row r="624" spans="1:13" s="28" customFormat="1" ht="31.5" hidden="1" x14ac:dyDescent="0.2">
      <c r="A624" s="43" t="s">
        <v>25</v>
      </c>
      <c r="B624" s="31" t="s">
        <v>8</v>
      </c>
      <c r="C624" s="31" t="s">
        <v>485</v>
      </c>
      <c r="D624" s="31" t="s">
        <v>487</v>
      </c>
      <c r="E624" s="31" t="s">
        <v>36</v>
      </c>
      <c r="F624" s="29">
        <f>F625</f>
        <v>0</v>
      </c>
      <c r="G624" s="29">
        <f>G625</f>
        <v>0</v>
      </c>
      <c r="H624" s="258" t="e">
        <f t="shared" si="101"/>
        <v>#DIV/0!</v>
      </c>
      <c r="I624" s="124"/>
      <c r="J624" s="124"/>
      <c r="K624" s="124"/>
      <c r="L624" s="125"/>
      <c r="M624" s="125"/>
    </row>
    <row r="625" spans="1:13" s="28" customFormat="1" ht="31.5" hidden="1" x14ac:dyDescent="0.2">
      <c r="A625" s="43" t="s">
        <v>26</v>
      </c>
      <c r="B625" s="31" t="s">
        <v>8</v>
      </c>
      <c r="C625" s="31" t="s">
        <v>485</v>
      </c>
      <c r="D625" s="31" t="s">
        <v>487</v>
      </c>
      <c r="E625" s="31" t="s">
        <v>37</v>
      </c>
      <c r="F625" s="29">
        <v>0</v>
      </c>
      <c r="G625" s="29">
        <v>0</v>
      </c>
      <c r="H625" s="258" t="e">
        <f t="shared" si="101"/>
        <v>#DIV/0!</v>
      </c>
      <c r="I625" s="124"/>
      <c r="J625" s="124"/>
      <c r="K625" s="124"/>
      <c r="L625" s="125"/>
      <c r="M625" s="125"/>
    </row>
    <row r="626" spans="1:13" s="28" customFormat="1" hidden="1" x14ac:dyDescent="0.2">
      <c r="A626" s="81" t="s">
        <v>29</v>
      </c>
      <c r="B626" s="31" t="s">
        <v>8</v>
      </c>
      <c r="C626" s="31" t="s">
        <v>485</v>
      </c>
      <c r="D626" s="31" t="s">
        <v>487</v>
      </c>
      <c r="E626" s="31" t="s">
        <v>130</v>
      </c>
      <c r="F626" s="29">
        <f>F627</f>
        <v>0</v>
      </c>
      <c r="G626" s="29">
        <f>G627</f>
        <v>0</v>
      </c>
      <c r="H626" s="258" t="e">
        <f t="shared" si="101"/>
        <v>#DIV/0!</v>
      </c>
      <c r="I626" s="124"/>
      <c r="J626" s="124"/>
      <c r="K626" s="124"/>
      <c r="L626" s="125"/>
      <c r="M626" s="125"/>
    </row>
    <row r="627" spans="1:13" s="28" customFormat="1" hidden="1" x14ac:dyDescent="0.2">
      <c r="A627" s="43" t="s">
        <v>31</v>
      </c>
      <c r="B627" s="31" t="s">
        <v>8</v>
      </c>
      <c r="C627" s="31" t="s">
        <v>485</v>
      </c>
      <c r="D627" s="31" t="s">
        <v>487</v>
      </c>
      <c r="E627" s="31" t="s">
        <v>168</v>
      </c>
      <c r="F627" s="29">
        <v>0</v>
      </c>
      <c r="G627" s="29">
        <v>0</v>
      </c>
      <c r="H627" s="258" t="e">
        <f t="shared" si="101"/>
        <v>#DIV/0!</v>
      </c>
      <c r="I627" s="124"/>
      <c r="J627" s="124"/>
      <c r="K627" s="124"/>
      <c r="L627" s="125"/>
      <c r="M627" s="125"/>
    </row>
    <row r="628" spans="1:13" s="45" customFormat="1" x14ac:dyDescent="0.2">
      <c r="A628" s="33" t="s">
        <v>488</v>
      </c>
      <c r="B628" s="34" t="s">
        <v>8</v>
      </c>
      <c r="C628" s="34" t="s">
        <v>489</v>
      </c>
      <c r="D628" s="34"/>
      <c r="E628" s="41"/>
      <c r="F628" s="35">
        <f>F629</f>
        <v>10</v>
      </c>
      <c r="G628" s="35">
        <f>G629</f>
        <v>10</v>
      </c>
      <c r="H628" s="258">
        <f t="shared" si="101"/>
        <v>1</v>
      </c>
      <c r="I628" s="124"/>
      <c r="J628" s="124"/>
      <c r="K628" s="124"/>
      <c r="L628" s="125"/>
      <c r="M628" s="125"/>
    </row>
    <row r="629" spans="1:13" s="5" customFormat="1" x14ac:dyDescent="0.2">
      <c r="A629" s="23" t="s">
        <v>197</v>
      </c>
      <c r="B629" s="15" t="s">
        <v>8</v>
      </c>
      <c r="C629" s="15" t="s">
        <v>489</v>
      </c>
      <c r="D629" s="15" t="s">
        <v>198</v>
      </c>
      <c r="E629" s="24"/>
      <c r="F629" s="25">
        <f>F630</f>
        <v>10</v>
      </c>
      <c r="G629" s="25">
        <f>G630</f>
        <v>10</v>
      </c>
      <c r="H629" s="258">
        <f t="shared" si="101"/>
        <v>1</v>
      </c>
      <c r="I629" s="124"/>
      <c r="J629" s="124"/>
      <c r="K629" s="124"/>
      <c r="L629" s="125"/>
      <c r="M629" s="125"/>
    </row>
    <row r="630" spans="1:13" s="113" customFormat="1" ht="47.25" x14ac:dyDescent="0.2">
      <c r="A630" s="183" t="s">
        <v>490</v>
      </c>
      <c r="B630" s="108" t="s">
        <v>8</v>
      </c>
      <c r="C630" s="108" t="s">
        <v>489</v>
      </c>
      <c r="D630" s="109" t="s">
        <v>491</v>
      </c>
      <c r="E630" s="100"/>
      <c r="F630" s="186">
        <f>F633+F635</f>
        <v>10</v>
      </c>
      <c r="G630" s="186">
        <f>G633+G635</f>
        <v>10</v>
      </c>
      <c r="H630" s="258">
        <f t="shared" si="101"/>
        <v>1</v>
      </c>
      <c r="I630" s="124"/>
      <c r="J630" s="124"/>
      <c r="K630" s="124"/>
      <c r="L630" s="125"/>
      <c r="M630" s="125"/>
    </row>
    <row r="631" spans="1:13" s="113" customFormat="1" ht="31.5" hidden="1" x14ac:dyDescent="0.2">
      <c r="A631" s="117" t="s">
        <v>25</v>
      </c>
      <c r="B631" s="100" t="s">
        <v>8</v>
      </c>
      <c r="C631" s="100" t="s">
        <v>489</v>
      </c>
      <c r="D631" s="101" t="s">
        <v>211</v>
      </c>
      <c r="E631" s="100" t="s">
        <v>36</v>
      </c>
      <c r="F631" s="176">
        <f>F632</f>
        <v>0</v>
      </c>
      <c r="G631" s="176">
        <f>G632</f>
        <v>0</v>
      </c>
      <c r="H631" s="258" t="e">
        <f t="shared" si="101"/>
        <v>#DIV/0!</v>
      </c>
      <c r="I631" s="124"/>
      <c r="J631" s="124"/>
      <c r="K631" s="124"/>
      <c r="L631" s="125"/>
      <c r="M631" s="125"/>
    </row>
    <row r="632" spans="1:13" s="113" customFormat="1" ht="31.5" hidden="1" x14ac:dyDescent="0.2">
      <c r="A632" s="117" t="s">
        <v>26</v>
      </c>
      <c r="B632" s="100" t="s">
        <v>8</v>
      </c>
      <c r="C632" s="100" t="s">
        <v>489</v>
      </c>
      <c r="D632" s="101" t="s">
        <v>211</v>
      </c>
      <c r="E632" s="100" t="s">
        <v>37</v>
      </c>
      <c r="F632" s="176"/>
      <c r="G632" s="176"/>
      <c r="H632" s="258" t="e">
        <f t="shared" si="101"/>
        <v>#DIV/0!</v>
      </c>
      <c r="I632" s="124"/>
      <c r="J632" s="124"/>
      <c r="K632" s="124"/>
      <c r="L632" s="125"/>
      <c r="M632" s="125"/>
    </row>
    <row r="633" spans="1:13" s="113" customFormat="1" hidden="1" x14ac:dyDescent="0.2">
      <c r="A633" s="117" t="s">
        <v>27</v>
      </c>
      <c r="B633" s="100" t="s">
        <v>8</v>
      </c>
      <c r="C633" s="100" t="s">
        <v>489</v>
      </c>
      <c r="D633" s="101" t="s">
        <v>491</v>
      </c>
      <c r="E633" s="100" t="s">
        <v>155</v>
      </c>
      <c r="F633" s="176">
        <f>F634</f>
        <v>0</v>
      </c>
      <c r="G633" s="176">
        <f>G634</f>
        <v>0</v>
      </c>
      <c r="H633" s="258" t="e">
        <f t="shared" si="101"/>
        <v>#DIV/0!</v>
      </c>
      <c r="I633" s="124"/>
      <c r="J633" s="124"/>
      <c r="K633" s="124"/>
      <c r="L633" s="125"/>
      <c r="M633" s="125"/>
    </row>
    <row r="634" spans="1:13" s="113" customFormat="1" hidden="1" x14ac:dyDescent="0.2">
      <c r="A634" s="117" t="s">
        <v>156</v>
      </c>
      <c r="B634" s="100" t="s">
        <v>8</v>
      </c>
      <c r="C634" s="100" t="s">
        <v>489</v>
      </c>
      <c r="D634" s="101" t="s">
        <v>491</v>
      </c>
      <c r="E634" s="100" t="s">
        <v>157</v>
      </c>
      <c r="F634" s="176">
        <f>12-12</f>
        <v>0</v>
      </c>
      <c r="G634" s="176">
        <f>12-12</f>
        <v>0</v>
      </c>
      <c r="H634" s="258" t="e">
        <f t="shared" si="101"/>
        <v>#DIV/0!</v>
      </c>
      <c r="I634" s="124"/>
      <c r="J634" s="124"/>
      <c r="K634" s="124"/>
      <c r="L634" s="125"/>
      <c r="M634" s="125"/>
    </row>
    <row r="635" spans="1:13" s="113" customFormat="1" ht="31.5" x14ac:dyDescent="0.2">
      <c r="A635" s="189" t="s">
        <v>150</v>
      </c>
      <c r="B635" s="100" t="s">
        <v>8</v>
      </c>
      <c r="C635" s="100" t="s">
        <v>489</v>
      </c>
      <c r="D635" s="101" t="s">
        <v>491</v>
      </c>
      <c r="E635" s="100" t="s">
        <v>151</v>
      </c>
      <c r="F635" s="176">
        <f>F636</f>
        <v>10</v>
      </c>
      <c r="G635" s="176">
        <f>G636</f>
        <v>10</v>
      </c>
      <c r="H635" s="258">
        <f t="shared" si="101"/>
        <v>1</v>
      </c>
      <c r="I635" s="124"/>
      <c r="J635" s="124"/>
      <c r="K635" s="124"/>
      <c r="L635" s="125"/>
      <c r="M635" s="125"/>
    </row>
    <row r="636" spans="1:13" s="113" customFormat="1" ht="21" customHeight="1" x14ac:dyDescent="0.2">
      <c r="A636" s="189" t="s">
        <v>492</v>
      </c>
      <c r="B636" s="100" t="s">
        <v>8</v>
      </c>
      <c r="C636" s="100" t="s">
        <v>489</v>
      </c>
      <c r="D636" s="101" t="s">
        <v>491</v>
      </c>
      <c r="E636" s="100" t="s">
        <v>193</v>
      </c>
      <c r="F636" s="176">
        <f>42.5-32.5</f>
        <v>10</v>
      </c>
      <c r="G636" s="176">
        <f>42.5-32.5</f>
        <v>10</v>
      </c>
      <c r="H636" s="258">
        <f t="shared" si="101"/>
        <v>1</v>
      </c>
      <c r="I636" s="124"/>
      <c r="J636" s="124"/>
      <c r="K636" s="124"/>
      <c r="L636" s="125"/>
      <c r="M636" s="125"/>
    </row>
    <row r="637" spans="1:13" s="113" customFormat="1" ht="15" hidden="1" customHeight="1" x14ac:dyDescent="0.2">
      <c r="A637" s="175" t="s">
        <v>29</v>
      </c>
      <c r="B637" s="100" t="s">
        <v>8</v>
      </c>
      <c r="C637" s="100" t="s">
        <v>489</v>
      </c>
      <c r="D637" s="101" t="s">
        <v>491</v>
      </c>
      <c r="E637" s="100" t="s">
        <v>130</v>
      </c>
      <c r="F637" s="176">
        <f>F638+F639</f>
        <v>0</v>
      </c>
      <c r="G637" s="176">
        <f>G638+G639</f>
        <v>0</v>
      </c>
      <c r="H637" s="258" t="e">
        <f t="shared" si="101"/>
        <v>#DIV/0!</v>
      </c>
      <c r="I637" s="124"/>
      <c r="J637" s="124"/>
      <c r="K637" s="124"/>
      <c r="L637" s="125"/>
      <c r="M637" s="125"/>
    </row>
    <row r="638" spans="1:13" s="113" customFormat="1" hidden="1" x14ac:dyDescent="0.2">
      <c r="A638" s="175" t="s">
        <v>31</v>
      </c>
      <c r="B638" s="100" t="s">
        <v>8</v>
      </c>
      <c r="C638" s="100" t="s">
        <v>489</v>
      </c>
      <c r="D638" s="101" t="s">
        <v>491</v>
      </c>
      <c r="E638" s="100" t="s">
        <v>168</v>
      </c>
      <c r="F638" s="176"/>
      <c r="G638" s="176"/>
      <c r="H638" s="258" t="e">
        <f t="shared" si="101"/>
        <v>#DIV/0!</v>
      </c>
      <c r="I638" s="124"/>
      <c r="J638" s="124"/>
      <c r="K638" s="124"/>
      <c r="L638" s="125"/>
      <c r="M638" s="125"/>
    </row>
    <row r="639" spans="1:13" s="113" customFormat="1" hidden="1" x14ac:dyDescent="0.2">
      <c r="A639" s="175" t="s">
        <v>50</v>
      </c>
      <c r="B639" s="100" t="s">
        <v>8</v>
      </c>
      <c r="C639" s="100" t="s">
        <v>489</v>
      </c>
      <c r="D639" s="101" t="s">
        <v>491</v>
      </c>
      <c r="E639" s="100" t="s">
        <v>277</v>
      </c>
      <c r="F639" s="176">
        <f>152-152</f>
        <v>0</v>
      </c>
      <c r="G639" s="176">
        <f>152-152</f>
        <v>0</v>
      </c>
      <c r="H639" s="258" t="e">
        <f t="shared" si="101"/>
        <v>#DIV/0!</v>
      </c>
      <c r="I639" s="124"/>
      <c r="J639" s="124"/>
      <c r="K639" s="124"/>
      <c r="L639" s="125"/>
      <c r="M639" s="125"/>
    </row>
    <row r="640" spans="1:13" s="164" customFormat="1" x14ac:dyDescent="0.25">
      <c r="A640" s="14" t="s">
        <v>493</v>
      </c>
      <c r="B640" s="15" t="s">
        <v>8</v>
      </c>
      <c r="C640" s="15" t="s">
        <v>494</v>
      </c>
      <c r="D640" s="15"/>
      <c r="E640" s="15"/>
      <c r="F640" s="16">
        <f>F641</f>
        <v>46845</v>
      </c>
      <c r="G640" s="16">
        <f>G641</f>
        <v>31632.999999999996</v>
      </c>
      <c r="H640" s="258">
        <f t="shared" si="101"/>
        <v>0.67526950581705614</v>
      </c>
      <c r="I640" s="124"/>
      <c r="J640" s="124"/>
      <c r="K640" s="124"/>
      <c r="L640" s="125"/>
      <c r="M640" s="125"/>
    </row>
    <row r="641" spans="1:13" s="169" customFormat="1" x14ac:dyDescent="0.2">
      <c r="A641" s="33" t="s">
        <v>495</v>
      </c>
      <c r="B641" s="34" t="s">
        <v>8</v>
      </c>
      <c r="C641" s="34" t="s">
        <v>496</v>
      </c>
      <c r="D641" s="34"/>
      <c r="E641" s="41"/>
      <c r="F641" s="190">
        <f>F642+F649+F669+F678+F688+F699+F718</f>
        <v>46845</v>
      </c>
      <c r="G641" s="190">
        <f>G642+G649+G669+G678+G688+G699+G718+0.1</f>
        <v>31632.999999999996</v>
      </c>
      <c r="H641" s="258">
        <f t="shared" si="101"/>
        <v>0.67526950581705614</v>
      </c>
      <c r="I641" s="124"/>
      <c r="J641" s="124"/>
      <c r="K641" s="124"/>
      <c r="L641" s="125"/>
      <c r="M641" s="125"/>
    </row>
    <row r="642" spans="1:13" s="164" customFormat="1" x14ac:dyDescent="0.25">
      <c r="A642" s="23" t="s">
        <v>67</v>
      </c>
      <c r="B642" s="15" t="s">
        <v>8</v>
      </c>
      <c r="C642" s="15" t="s">
        <v>496</v>
      </c>
      <c r="D642" s="15" t="s">
        <v>68</v>
      </c>
      <c r="E642" s="24"/>
      <c r="F642" s="25">
        <f>F643</f>
        <v>54.5</v>
      </c>
      <c r="G642" s="25">
        <f>G643</f>
        <v>4.5</v>
      </c>
      <c r="H642" s="258">
        <f t="shared" si="101"/>
        <v>8.2568807339449546E-2</v>
      </c>
      <c r="I642" s="124"/>
      <c r="J642" s="124"/>
      <c r="K642" s="124"/>
      <c r="L642" s="125"/>
      <c r="M642" s="125"/>
    </row>
    <row r="643" spans="1:13" s="45" customFormat="1" x14ac:dyDescent="0.2">
      <c r="A643" s="39" t="s">
        <v>33</v>
      </c>
      <c r="B643" s="40" t="s">
        <v>8</v>
      </c>
      <c r="C643" s="40" t="s">
        <v>496</v>
      </c>
      <c r="D643" s="40" t="s">
        <v>69</v>
      </c>
      <c r="E643" s="41"/>
      <c r="F643" s="42">
        <f>F644</f>
        <v>54.5</v>
      </c>
      <c r="G643" s="42">
        <f>G644</f>
        <v>4.5</v>
      </c>
      <c r="H643" s="258">
        <f t="shared" si="101"/>
        <v>8.2568807339449546E-2</v>
      </c>
      <c r="I643" s="124"/>
      <c r="J643" s="124"/>
      <c r="K643" s="124"/>
      <c r="L643" s="125"/>
      <c r="M643" s="125"/>
    </row>
    <row r="644" spans="1:13" s="45" customFormat="1" ht="31.5" x14ac:dyDescent="0.2">
      <c r="A644" s="163" t="s">
        <v>154</v>
      </c>
      <c r="B644" s="31" t="s">
        <v>8</v>
      </c>
      <c r="C644" s="31" t="s">
        <v>496</v>
      </c>
      <c r="D644" s="31" t="s">
        <v>71</v>
      </c>
      <c r="E644" s="41"/>
      <c r="F644" s="29">
        <f>F645+F647</f>
        <v>54.5</v>
      </c>
      <c r="G644" s="29">
        <f>G645+G647</f>
        <v>4.5</v>
      </c>
      <c r="H644" s="258">
        <f t="shared" si="101"/>
        <v>8.2568807339449546E-2</v>
      </c>
      <c r="I644" s="124"/>
      <c r="J644" s="124"/>
      <c r="K644" s="124"/>
      <c r="L644" s="125"/>
      <c r="M644" s="125"/>
    </row>
    <row r="645" spans="1:13" s="45" customFormat="1" ht="31.5" x14ac:dyDescent="0.2">
      <c r="A645" s="43" t="s">
        <v>25</v>
      </c>
      <c r="B645" s="31" t="s">
        <v>8</v>
      </c>
      <c r="C645" s="31" t="s">
        <v>496</v>
      </c>
      <c r="D645" s="31" t="s">
        <v>71</v>
      </c>
      <c r="E645" s="31" t="s">
        <v>36</v>
      </c>
      <c r="F645" s="29">
        <f>F646</f>
        <v>50</v>
      </c>
      <c r="G645" s="29">
        <f>G646</f>
        <v>0</v>
      </c>
      <c r="H645" s="258">
        <f t="shared" si="101"/>
        <v>0</v>
      </c>
      <c r="I645" s="124"/>
      <c r="J645" s="124"/>
      <c r="K645" s="124"/>
      <c r="L645" s="125"/>
      <c r="M645" s="125"/>
    </row>
    <row r="646" spans="1:13" s="45" customFormat="1" ht="31.5" x14ac:dyDescent="0.2">
      <c r="A646" s="43" t="s">
        <v>26</v>
      </c>
      <c r="B646" s="31" t="s">
        <v>8</v>
      </c>
      <c r="C646" s="31" t="s">
        <v>496</v>
      </c>
      <c r="D646" s="31" t="s">
        <v>71</v>
      </c>
      <c r="E646" s="31" t="s">
        <v>37</v>
      </c>
      <c r="F646" s="29">
        <v>50</v>
      </c>
      <c r="G646" s="29">
        <v>0</v>
      </c>
      <c r="H646" s="258">
        <f t="shared" si="101"/>
        <v>0</v>
      </c>
      <c r="I646" s="124"/>
      <c r="J646" s="124"/>
      <c r="K646" s="124"/>
      <c r="L646" s="125"/>
      <c r="M646" s="125"/>
    </row>
    <row r="647" spans="1:13" s="45" customFormat="1" ht="31.5" x14ac:dyDescent="0.2">
      <c r="A647" s="189" t="s">
        <v>150</v>
      </c>
      <c r="B647" s="31" t="s">
        <v>8</v>
      </c>
      <c r="C647" s="31" t="s">
        <v>496</v>
      </c>
      <c r="D647" s="31" t="s">
        <v>71</v>
      </c>
      <c r="E647" s="100" t="s">
        <v>151</v>
      </c>
      <c r="F647" s="29">
        <f>F648</f>
        <v>4.5</v>
      </c>
      <c r="G647" s="29">
        <f>G648</f>
        <v>4.5</v>
      </c>
      <c r="H647" s="258">
        <f t="shared" si="101"/>
        <v>1</v>
      </c>
      <c r="I647" s="124"/>
      <c r="J647" s="124"/>
      <c r="K647" s="124"/>
      <c r="L647" s="125"/>
      <c r="M647" s="125"/>
    </row>
    <row r="648" spans="1:13" s="45" customFormat="1" x14ac:dyDescent="0.2">
      <c r="A648" s="189" t="s">
        <v>492</v>
      </c>
      <c r="B648" s="31" t="s">
        <v>8</v>
      </c>
      <c r="C648" s="31" t="s">
        <v>496</v>
      </c>
      <c r="D648" s="31" t="s">
        <v>71</v>
      </c>
      <c r="E648" s="100" t="s">
        <v>193</v>
      </c>
      <c r="F648" s="29">
        <v>4.5</v>
      </c>
      <c r="G648" s="29">
        <v>4.5</v>
      </c>
      <c r="H648" s="258">
        <f t="shared" si="101"/>
        <v>1</v>
      </c>
      <c r="I648" s="124"/>
      <c r="J648" s="124"/>
      <c r="K648" s="124"/>
      <c r="L648" s="125"/>
      <c r="M648" s="125"/>
    </row>
    <row r="649" spans="1:13" s="45" customFormat="1" ht="31.5" x14ac:dyDescent="0.2">
      <c r="A649" s="23" t="s">
        <v>72</v>
      </c>
      <c r="B649" s="15" t="s">
        <v>8</v>
      </c>
      <c r="C649" s="15" t="s">
        <v>496</v>
      </c>
      <c r="D649" s="15" t="s">
        <v>73</v>
      </c>
      <c r="E649" s="15"/>
      <c r="F649" s="25">
        <f>F650</f>
        <v>13864.2</v>
      </c>
      <c r="G649" s="25">
        <f>G650</f>
        <v>9222.6</v>
      </c>
      <c r="H649" s="258">
        <f t="shared" si="101"/>
        <v>0.66520967672133979</v>
      </c>
      <c r="I649" s="124"/>
      <c r="J649" s="124"/>
      <c r="K649" s="124"/>
      <c r="L649" s="125"/>
      <c r="M649" s="125"/>
    </row>
    <row r="650" spans="1:13" s="45" customFormat="1" ht="31.5" x14ac:dyDescent="0.2">
      <c r="A650" s="89" t="s">
        <v>74</v>
      </c>
      <c r="B650" s="31" t="s">
        <v>8</v>
      </c>
      <c r="C650" s="31" t="s">
        <v>496</v>
      </c>
      <c r="D650" s="31" t="s">
        <v>75</v>
      </c>
      <c r="E650" s="31"/>
      <c r="F650" s="29">
        <f>F651+F665</f>
        <v>13864.2</v>
      </c>
      <c r="G650" s="29">
        <f>G651+G665</f>
        <v>9222.6</v>
      </c>
      <c r="H650" s="258">
        <f t="shared" ref="H650:H713" si="106">G650/F650</f>
        <v>0.66520967672133979</v>
      </c>
      <c r="I650" s="124"/>
      <c r="J650" s="124"/>
      <c r="K650" s="124"/>
      <c r="L650" s="125"/>
      <c r="M650" s="125"/>
    </row>
    <row r="651" spans="1:13" s="45" customFormat="1" ht="31.5" x14ac:dyDescent="0.2">
      <c r="A651" s="89" t="s">
        <v>497</v>
      </c>
      <c r="B651" s="31" t="s">
        <v>8</v>
      </c>
      <c r="C651" s="31" t="s">
        <v>496</v>
      </c>
      <c r="D651" s="31" t="s">
        <v>498</v>
      </c>
      <c r="E651" s="31"/>
      <c r="F651" s="29">
        <f>F652+F660</f>
        <v>13733.7</v>
      </c>
      <c r="G651" s="29">
        <f>G652+G660</f>
        <v>9182.6</v>
      </c>
      <c r="H651" s="258">
        <f t="shared" si="106"/>
        <v>0.6686180708767484</v>
      </c>
      <c r="I651" s="124"/>
      <c r="J651" s="124"/>
      <c r="K651" s="124"/>
      <c r="L651" s="125"/>
      <c r="M651" s="125"/>
    </row>
    <row r="652" spans="1:13" s="45" customFormat="1" ht="78.75" x14ac:dyDescent="0.2">
      <c r="A652" s="89" t="s">
        <v>499</v>
      </c>
      <c r="B652" s="31" t="s">
        <v>8</v>
      </c>
      <c r="C652" s="31" t="s">
        <v>496</v>
      </c>
      <c r="D652" s="31" t="s">
        <v>500</v>
      </c>
      <c r="E652" s="31"/>
      <c r="F652" s="29">
        <f>F653+F655+F658</f>
        <v>13140.2</v>
      </c>
      <c r="G652" s="29">
        <f>G653+G655+G658</f>
        <v>8773.1</v>
      </c>
      <c r="H652" s="258">
        <f t="shared" si="106"/>
        <v>0.66765346037351025</v>
      </c>
      <c r="I652" s="124"/>
      <c r="J652" s="124"/>
      <c r="K652" s="124"/>
      <c r="L652" s="125"/>
      <c r="M652" s="125"/>
    </row>
    <row r="653" spans="1:13" s="28" customFormat="1" x14ac:dyDescent="0.2">
      <c r="A653" s="43" t="s">
        <v>142</v>
      </c>
      <c r="B653" s="31" t="s">
        <v>8</v>
      </c>
      <c r="C653" s="31" t="s">
        <v>496</v>
      </c>
      <c r="D653" s="31" t="s">
        <v>500</v>
      </c>
      <c r="E653" s="31" t="s">
        <v>43</v>
      </c>
      <c r="F653" s="29">
        <f>F654</f>
        <v>6406.3</v>
      </c>
      <c r="G653" s="29">
        <f>G654</f>
        <v>4059.4</v>
      </c>
      <c r="H653" s="258">
        <f t="shared" si="106"/>
        <v>0.63365749340492949</v>
      </c>
      <c r="I653" s="124"/>
      <c r="J653" s="124"/>
      <c r="K653" s="124"/>
      <c r="L653" s="125"/>
      <c r="M653" s="125"/>
    </row>
    <row r="654" spans="1:13" s="45" customFormat="1" ht="31.5" x14ac:dyDescent="0.2">
      <c r="A654" s="43" t="s">
        <v>25</v>
      </c>
      <c r="B654" s="31" t="s">
        <v>8</v>
      </c>
      <c r="C654" s="31" t="s">
        <v>496</v>
      </c>
      <c r="D654" s="31" t="s">
        <v>500</v>
      </c>
      <c r="E654" s="31" t="s">
        <v>143</v>
      </c>
      <c r="F654" s="29">
        <v>6406.3</v>
      </c>
      <c r="G654" s="29">
        <f>3160.4+899</f>
        <v>4059.4</v>
      </c>
      <c r="H654" s="258">
        <f t="shared" si="106"/>
        <v>0.63365749340492949</v>
      </c>
      <c r="I654" s="124"/>
      <c r="J654" s="124"/>
      <c r="K654" s="124"/>
      <c r="L654" s="125"/>
      <c r="M654" s="125"/>
    </row>
    <row r="655" spans="1:13" s="45" customFormat="1" ht="31.5" x14ac:dyDescent="0.2">
      <c r="A655" s="89" t="s">
        <v>150</v>
      </c>
      <c r="B655" s="31" t="s">
        <v>8</v>
      </c>
      <c r="C655" s="31" t="s">
        <v>496</v>
      </c>
      <c r="D655" s="31" t="s">
        <v>500</v>
      </c>
      <c r="E655" s="31" t="s">
        <v>151</v>
      </c>
      <c r="F655" s="29">
        <f>F656+F657</f>
        <v>6733.9</v>
      </c>
      <c r="G655" s="29">
        <f>G656+G657</f>
        <v>4713.7</v>
      </c>
      <c r="H655" s="258">
        <f t="shared" si="106"/>
        <v>0.69999554492938709</v>
      </c>
      <c r="I655" s="124"/>
      <c r="J655" s="124"/>
      <c r="K655" s="124"/>
      <c r="L655" s="125"/>
      <c r="M655" s="125"/>
    </row>
    <row r="656" spans="1:13" s="45" customFormat="1" hidden="1" x14ac:dyDescent="0.2">
      <c r="A656" s="89" t="s">
        <v>152</v>
      </c>
      <c r="B656" s="31" t="s">
        <v>8</v>
      </c>
      <c r="C656" s="31" t="s">
        <v>496</v>
      </c>
      <c r="D656" s="31" t="s">
        <v>500</v>
      </c>
      <c r="E656" s="31" t="s">
        <v>153</v>
      </c>
      <c r="F656" s="29"/>
      <c r="G656" s="29"/>
      <c r="H656" s="258" t="e">
        <f t="shared" si="106"/>
        <v>#DIV/0!</v>
      </c>
      <c r="I656" s="124"/>
      <c r="J656" s="124"/>
      <c r="K656" s="124"/>
      <c r="L656" s="125"/>
      <c r="M656" s="125"/>
    </row>
    <row r="657" spans="1:13" s="45" customFormat="1" x14ac:dyDescent="0.2">
      <c r="A657" s="89" t="s">
        <v>192</v>
      </c>
      <c r="B657" s="31" t="s">
        <v>8</v>
      </c>
      <c r="C657" s="31" t="s">
        <v>496</v>
      </c>
      <c r="D657" s="31" t="s">
        <v>500</v>
      </c>
      <c r="E657" s="31" t="s">
        <v>193</v>
      </c>
      <c r="F657" s="29">
        <v>6733.9</v>
      </c>
      <c r="G657" s="29">
        <v>4713.7</v>
      </c>
      <c r="H657" s="258">
        <f t="shared" si="106"/>
        <v>0.69999554492938709</v>
      </c>
      <c r="I657" s="124"/>
      <c r="J657" s="124"/>
      <c r="K657" s="124"/>
      <c r="L657" s="125"/>
      <c r="M657" s="125"/>
    </row>
    <row r="658" spans="1:13" s="45" customFormat="1" hidden="1" x14ac:dyDescent="0.2">
      <c r="A658" s="89" t="s">
        <v>29</v>
      </c>
      <c r="B658" s="31" t="s">
        <v>8</v>
      </c>
      <c r="C658" s="31" t="s">
        <v>496</v>
      </c>
      <c r="D658" s="31" t="s">
        <v>500</v>
      </c>
      <c r="E658" s="31" t="s">
        <v>130</v>
      </c>
      <c r="F658" s="29">
        <f>F659</f>
        <v>0</v>
      </c>
      <c r="G658" s="29">
        <f>G659</f>
        <v>0</v>
      </c>
      <c r="H658" s="258" t="e">
        <f t="shared" si="106"/>
        <v>#DIV/0!</v>
      </c>
      <c r="I658" s="124"/>
      <c r="J658" s="124"/>
      <c r="K658" s="124"/>
      <c r="L658" s="125"/>
      <c r="M658" s="125"/>
    </row>
    <row r="659" spans="1:13" s="45" customFormat="1" hidden="1" x14ac:dyDescent="0.2">
      <c r="A659" s="89" t="s">
        <v>50</v>
      </c>
      <c r="B659" s="31" t="s">
        <v>8</v>
      </c>
      <c r="C659" s="31" t="s">
        <v>496</v>
      </c>
      <c r="D659" s="31" t="s">
        <v>500</v>
      </c>
      <c r="E659" s="31" t="s">
        <v>277</v>
      </c>
      <c r="F659" s="29">
        <f>14841.5-14841.5</f>
        <v>0</v>
      </c>
      <c r="G659" s="29">
        <f>14841.5-14841.5</f>
        <v>0</v>
      </c>
      <c r="H659" s="258" t="e">
        <f t="shared" si="106"/>
        <v>#DIV/0!</v>
      </c>
      <c r="I659" s="124"/>
      <c r="J659" s="124"/>
      <c r="K659" s="124"/>
      <c r="L659" s="125"/>
      <c r="M659" s="125"/>
    </row>
    <row r="660" spans="1:13" s="72" customFormat="1" ht="49.15" customHeight="1" x14ac:dyDescent="0.2">
      <c r="A660" s="139" t="s">
        <v>501</v>
      </c>
      <c r="B660" s="58" t="s">
        <v>8</v>
      </c>
      <c r="C660" s="58" t="s">
        <v>496</v>
      </c>
      <c r="D660" s="58" t="s">
        <v>502</v>
      </c>
      <c r="E660" s="58"/>
      <c r="F660" s="49">
        <f>F661+F663</f>
        <v>593.5</v>
      </c>
      <c r="G660" s="49">
        <f>G661+G663</f>
        <v>409.5</v>
      </c>
      <c r="H660" s="258">
        <f t="shared" si="106"/>
        <v>0.68997472620050548</v>
      </c>
      <c r="I660" s="124"/>
      <c r="J660" s="124"/>
      <c r="K660" s="124"/>
      <c r="L660" s="125"/>
      <c r="M660" s="125"/>
    </row>
    <row r="661" spans="1:13" s="72" customFormat="1" x14ac:dyDescent="0.2">
      <c r="A661" s="57" t="s">
        <v>142</v>
      </c>
      <c r="B661" s="58" t="s">
        <v>8</v>
      </c>
      <c r="C661" s="58" t="s">
        <v>496</v>
      </c>
      <c r="D661" s="58" t="s">
        <v>502</v>
      </c>
      <c r="E661" s="58" t="s">
        <v>43</v>
      </c>
      <c r="F661" s="49">
        <f>F662</f>
        <v>56.4</v>
      </c>
      <c r="G661" s="49">
        <f>G662</f>
        <v>33.5</v>
      </c>
      <c r="H661" s="258">
        <f t="shared" si="106"/>
        <v>0.59397163120567376</v>
      </c>
      <c r="I661" s="124"/>
      <c r="J661" s="124"/>
      <c r="K661" s="124"/>
      <c r="L661" s="125"/>
      <c r="M661" s="125"/>
    </row>
    <row r="662" spans="1:13" s="72" customFormat="1" ht="31.5" x14ac:dyDescent="0.2">
      <c r="A662" s="57" t="s">
        <v>25</v>
      </c>
      <c r="B662" s="58" t="s">
        <v>8</v>
      </c>
      <c r="C662" s="58" t="s">
        <v>496</v>
      </c>
      <c r="D662" s="58" t="s">
        <v>502</v>
      </c>
      <c r="E662" s="58" t="s">
        <v>143</v>
      </c>
      <c r="F662" s="49">
        <v>56.4</v>
      </c>
      <c r="G662" s="49">
        <f>25.7+7.8</f>
        <v>33.5</v>
      </c>
      <c r="H662" s="258">
        <f t="shared" si="106"/>
        <v>0.59397163120567376</v>
      </c>
      <c r="I662" s="124"/>
      <c r="J662" s="124"/>
      <c r="K662" s="124"/>
      <c r="L662" s="125"/>
      <c r="M662" s="125"/>
    </row>
    <row r="663" spans="1:13" s="72" customFormat="1" ht="31.5" x14ac:dyDescent="0.2">
      <c r="A663" s="139" t="s">
        <v>150</v>
      </c>
      <c r="B663" s="58" t="s">
        <v>8</v>
      </c>
      <c r="C663" s="58" t="s">
        <v>496</v>
      </c>
      <c r="D663" s="58" t="s">
        <v>502</v>
      </c>
      <c r="E663" s="58" t="s">
        <v>151</v>
      </c>
      <c r="F663" s="49">
        <f>F664</f>
        <v>537.1</v>
      </c>
      <c r="G663" s="49">
        <f>G664</f>
        <v>376</v>
      </c>
      <c r="H663" s="258">
        <f t="shared" si="106"/>
        <v>0.70005585552038718</v>
      </c>
      <c r="I663" s="124"/>
      <c r="J663" s="124"/>
      <c r="K663" s="124"/>
      <c r="L663" s="125"/>
      <c r="M663" s="125"/>
    </row>
    <row r="664" spans="1:13" s="72" customFormat="1" x14ac:dyDescent="0.2">
      <c r="A664" s="139" t="s">
        <v>192</v>
      </c>
      <c r="B664" s="58" t="s">
        <v>8</v>
      </c>
      <c r="C664" s="58" t="s">
        <v>496</v>
      </c>
      <c r="D664" s="58" t="s">
        <v>502</v>
      </c>
      <c r="E664" s="58" t="s">
        <v>193</v>
      </c>
      <c r="F664" s="49">
        <v>537.1</v>
      </c>
      <c r="G664" s="49">
        <v>376</v>
      </c>
      <c r="H664" s="258">
        <f t="shared" si="106"/>
        <v>0.70005585552038718</v>
      </c>
      <c r="I664" s="124"/>
      <c r="J664" s="124"/>
      <c r="K664" s="124"/>
      <c r="L664" s="125"/>
      <c r="M664" s="125"/>
    </row>
    <row r="665" spans="1:13" s="45" customFormat="1" ht="47.25" x14ac:dyDescent="0.2">
      <c r="A665" s="89" t="s">
        <v>503</v>
      </c>
      <c r="B665" s="31" t="s">
        <v>8</v>
      </c>
      <c r="C665" s="31" t="s">
        <v>496</v>
      </c>
      <c r="D665" s="31" t="s">
        <v>504</v>
      </c>
      <c r="E665" s="31"/>
      <c r="F665" s="29">
        <f t="shared" ref="F665:G667" si="107">F666</f>
        <v>130.5</v>
      </c>
      <c r="G665" s="29">
        <f t="shared" si="107"/>
        <v>40</v>
      </c>
      <c r="H665" s="258">
        <f t="shared" si="106"/>
        <v>0.3065134099616858</v>
      </c>
      <c r="I665" s="124"/>
      <c r="J665" s="124"/>
      <c r="K665" s="124"/>
      <c r="L665" s="125"/>
      <c r="M665" s="125"/>
    </row>
    <row r="666" spans="1:13" s="45" customFormat="1" x14ac:dyDescent="0.2">
      <c r="A666" s="89" t="s">
        <v>505</v>
      </c>
      <c r="B666" s="31" t="s">
        <v>8</v>
      </c>
      <c r="C666" s="31" t="s">
        <v>496</v>
      </c>
      <c r="D666" s="31" t="s">
        <v>506</v>
      </c>
      <c r="E666" s="31"/>
      <c r="F666" s="29">
        <f t="shared" si="107"/>
        <v>130.5</v>
      </c>
      <c r="G666" s="29">
        <f t="shared" si="107"/>
        <v>40</v>
      </c>
      <c r="H666" s="258">
        <f t="shared" si="106"/>
        <v>0.3065134099616858</v>
      </c>
      <c r="I666" s="124"/>
      <c r="J666" s="124"/>
      <c r="K666" s="124"/>
      <c r="L666" s="125"/>
      <c r="M666" s="125"/>
    </row>
    <row r="667" spans="1:13" s="45" customFormat="1" ht="31.5" x14ac:dyDescent="0.2">
      <c r="A667" s="43" t="s">
        <v>25</v>
      </c>
      <c r="B667" s="31" t="s">
        <v>8</v>
      </c>
      <c r="C667" s="31" t="s">
        <v>496</v>
      </c>
      <c r="D667" s="31" t="s">
        <v>506</v>
      </c>
      <c r="E667" s="31" t="s">
        <v>36</v>
      </c>
      <c r="F667" s="29">
        <f t="shared" si="107"/>
        <v>130.5</v>
      </c>
      <c r="G667" s="29">
        <f t="shared" si="107"/>
        <v>40</v>
      </c>
      <c r="H667" s="258">
        <f t="shared" si="106"/>
        <v>0.3065134099616858</v>
      </c>
      <c r="I667" s="124"/>
      <c r="J667" s="124"/>
      <c r="K667" s="124"/>
      <c r="L667" s="125"/>
      <c r="M667" s="125"/>
    </row>
    <row r="668" spans="1:13" s="45" customFormat="1" ht="31.5" x14ac:dyDescent="0.2">
      <c r="A668" s="43" t="s">
        <v>26</v>
      </c>
      <c r="B668" s="31" t="s">
        <v>8</v>
      </c>
      <c r="C668" s="31" t="s">
        <v>496</v>
      </c>
      <c r="D668" s="31" t="s">
        <v>506</v>
      </c>
      <c r="E668" s="31" t="s">
        <v>37</v>
      </c>
      <c r="F668" s="29">
        <v>130.5</v>
      </c>
      <c r="G668" s="29">
        <v>40</v>
      </c>
      <c r="H668" s="258">
        <f t="shared" si="106"/>
        <v>0.3065134099616858</v>
      </c>
      <c r="I668" s="124"/>
      <c r="J668" s="124"/>
      <c r="K668" s="124"/>
      <c r="L668" s="125"/>
      <c r="M668" s="125"/>
    </row>
    <row r="669" spans="1:13" s="45" customFormat="1" ht="31.5" x14ac:dyDescent="0.2">
      <c r="A669" s="23" t="s">
        <v>507</v>
      </c>
      <c r="B669" s="15" t="s">
        <v>8</v>
      </c>
      <c r="C669" s="15" t="s">
        <v>496</v>
      </c>
      <c r="D669" s="15" t="s">
        <v>508</v>
      </c>
      <c r="E669" s="24"/>
      <c r="F669" s="25">
        <f>F670+F673+F674</f>
        <v>18317.599999999999</v>
      </c>
      <c r="G669" s="25">
        <f>G670+G673+G674</f>
        <v>13127.4</v>
      </c>
      <c r="H669" s="258">
        <f t="shared" si="106"/>
        <v>0.71665502030833739</v>
      </c>
      <c r="I669" s="124"/>
      <c r="J669" s="124"/>
      <c r="K669" s="124"/>
      <c r="L669" s="125"/>
      <c r="M669" s="125"/>
    </row>
    <row r="670" spans="1:13" s="45" customFormat="1" ht="47.25" hidden="1" customHeight="1" x14ac:dyDescent="0.2">
      <c r="A670" s="36" t="s">
        <v>509</v>
      </c>
      <c r="B670" s="40" t="s">
        <v>8</v>
      </c>
      <c r="C670" s="31" t="s">
        <v>496</v>
      </c>
      <c r="D670" s="31" t="s">
        <v>510</v>
      </c>
      <c r="E670" s="41"/>
      <c r="F670" s="29">
        <f>F671</f>
        <v>0</v>
      </c>
      <c r="G670" s="29">
        <f>G671</f>
        <v>0</v>
      </c>
      <c r="H670" s="258" t="e">
        <f t="shared" si="106"/>
        <v>#DIV/0!</v>
      </c>
      <c r="I670" s="124"/>
      <c r="J670" s="124"/>
      <c r="K670" s="124"/>
      <c r="L670" s="125"/>
      <c r="M670" s="125"/>
    </row>
    <row r="671" spans="1:13" s="45" customFormat="1" ht="31.5" hidden="1" customHeight="1" x14ac:dyDescent="0.2">
      <c r="A671" s="81" t="s">
        <v>511</v>
      </c>
      <c r="B671" s="40" t="s">
        <v>8</v>
      </c>
      <c r="C671" s="31" t="s">
        <v>496</v>
      </c>
      <c r="D671" s="31" t="s">
        <v>510</v>
      </c>
      <c r="E671" s="31" t="s">
        <v>512</v>
      </c>
      <c r="F671" s="29"/>
      <c r="G671" s="29"/>
      <c r="H671" s="258" t="e">
        <f t="shared" si="106"/>
        <v>#DIV/0!</v>
      </c>
      <c r="I671" s="124"/>
      <c r="J671" s="124"/>
      <c r="K671" s="124"/>
      <c r="L671" s="125"/>
      <c r="M671" s="125"/>
    </row>
    <row r="672" spans="1:13" s="45" customFormat="1" ht="63" hidden="1" customHeight="1" x14ac:dyDescent="0.2">
      <c r="A672" s="36" t="s">
        <v>513</v>
      </c>
      <c r="B672" s="40" t="s">
        <v>8</v>
      </c>
      <c r="C672" s="31" t="s">
        <v>496</v>
      </c>
      <c r="D672" s="31" t="s">
        <v>514</v>
      </c>
      <c r="E672" s="41"/>
      <c r="F672" s="29">
        <f>F673</f>
        <v>0</v>
      </c>
      <c r="G672" s="29">
        <f>G673</f>
        <v>0</v>
      </c>
      <c r="H672" s="258" t="e">
        <f t="shared" si="106"/>
        <v>#DIV/0!</v>
      </c>
      <c r="I672" s="124"/>
      <c r="J672" s="124"/>
      <c r="K672" s="124"/>
      <c r="L672" s="125"/>
      <c r="M672" s="125"/>
    </row>
    <row r="673" spans="1:13" s="28" customFormat="1" ht="31.5" hidden="1" customHeight="1" x14ac:dyDescent="0.2">
      <c r="A673" s="38" t="s">
        <v>515</v>
      </c>
      <c r="B673" s="40" t="s">
        <v>8</v>
      </c>
      <c r="C673" s="31" t="s">
        <v>496</v>
      </c>
      <c r="D673" s="31" t="s">
        <v>514</v>
      </c>
      <c r="E673" s="31" t="s">
        <v>516</v>
      </c>
      <c r="F673" s="29"/>
      <c r="G673" s="29"/>
      <c r="H673" s="258" t="e">
        <f t="shared" si="106"/>
        <v>#DIV/0!</v>
      </c>
      <c r="I673" s="124"/>
      <c r="J673" s="124"/>
      <c r="K673" s="124"/>
      <c r="L673" s="125"/>
      <c r="M673" s="125"/>
    </row>
    <row r="674" spans="1:13" s="98" customFormat="1" ht="16.899999999999999" customHeight="1" x14ac:dyDescent="0.2">
      <c r="A674" s="81" t="s">
        <v>138</v>
      </c>
      <c r="B674" s="40" t="s">
        <v>8</v>
      </c>
      <c r="C674" s="31" t="s">
        <v>496</v>
      </c>
      <c r="D674" s="31" t="s">
        <v>517</v>
      </c>
      <c r="E674" s="31"/>
      <c r="F674" s="29">
        <f>F675</f>
        <v>18317.599999999999</v>
      </c>
      <c r="G674" s="29">
        <f>G675</f>
        <v>13127.4</v>
      </c>
      <c r="H674" s="258">
        <f t="shared" si="106"/>
        <v>0.71665502030833739</v>
      </c>
      <c r="I674" s="124"/>
      <c r="J674" s="124"/>
      <c r="K674" s="124"/>
      <c r="L674" s="125"/>
      <c r="M674" s="125"/>
    </row>
    <row r="675" spans="1:13" s="98" customFormat="1" ht="33.75" customHeight="1" x14ac:dyDescent="0.2">
      <c r="A675" s="89" t="s">
        <v>150</v>
      </c>
      <c r="B675" s="40" t="s">
        <v>8</v>
      </c>
      <c r="C675" s="31" t="s">
        <v>496</v>
      </c>
      <c r="D675" s="31" t="s">
        <v>517</v>
      </c>
      <c r="E675" s="31" t="s">
        <v>151</v>
      </c>
      <c r="F675" s="29">
        <f>F676</f>
        <v>18317.599999999999</v>
      </c>
      <c r="G675" s="29">
        <f>G676</f>
        <v>13127.4</v>
      </c>
      <c r="H675" s="258">
        <f t="shared" si="106"/>
        <v>0.71665502030833739</v>
      </c>
      <c r="I675" s="124"/>
      <c r="J675" s="124"/>
      <c r="K675" s="124"/>
      <c r="L675" s="125"/>
      <c r="M675" s="125"/>
    </row>
    <row r="676" spans="1:13" s="98" customFormat="1" x14ac:dyDescent="0.2">
      <c r="A676" s="89" t="s">
        <v>192</v>
      </c>
      <c r="B676" s="40" t="s">
        <v>8</v>
      </c>
      <c r="C676" s="31" t="s">
        <v>496</v>
      </c>
      <c r="D676" s="31" t="s">
        <v>517</v>
      </c>
      <c r="E676" s="31" t="s">
        <v>193</v>
      </c>
      <c r="F676" s="29">
        <f>15429-938+4486.6-410-250</f>
        <v>18317.599999999999</v>
      </c>
      <c r="G676" s="29">
        <f>13095.6+31.8</f>
        <v>13127.4</v>
      </c>
      <c r="H676" s="258">
        <f t="shared" si="106"/>
        <v>0.71665502030833739</v>
      </c>
      <c r="I676" s="124"/>
      <c r="J676" s="124"/>
      <c r="K676" s="124"/>
      <c r="L676" s="125"/>
      <c r="M676" s="125"/>
    </row>
    <row r="677" spans="1:13" s="98" customFormat="1" ht="33.75" hidden="1" customHeight="1" x14ac:dyDescent="0.2">
      <c r="A677" s="89" t="s">
        <v>518</v>
      </c>
      <c r="B677" s="40" t="s">
        <v>8</v>
      </c>
      <c r="C677" s="31" t="s">
        <v>496</v>
      </c>
      <c r="D677" s="31" t="s">
        <v>519</v>
      </c>
      <c r="E677" s="31" t="s">
        <v>520</v>
      </c>
      <c r="F677" s="29"/>
      <c r="G677" s="29"/>
      <c r="H677" s="258" t="e">
        <f t="shared" si="106"/>
        <v>#DIV/0!</v>
      </c>
      <c r="I677" s="124"/>
      <c r="J677" s="124"/>
      <c r="K677" s="124"/>
      <c r="L677" s="125"/>
      <c r="M677" s="125"/>
    </row>
    <row r="678" spans="1:13" s="98" customFormat="1" x14ac:dyDescent="0.2">
      <c r="A678" s="23" t="s">
        <v>521</v>
      </c>
      <c r="B678" s="15" t="s">
        <v>8</v>
      </c>
      <c r="C678" s="15" t="s">
        <v>496</v>
      </c>
      <c r="D678" s="15" t="s">
        <v>522</v>
      </c>
      <c r="E678" s="15"/>
      <c r="F678" s="25">
        <f>F679</f>
        <v>1558.6999999999998</v>
      </c>
      <c r="G678" s="25">
        <f>G679</f>
        <v>986.8</v>
      </c>
      <c r="H678" s="258">
        <f t="shared" si="106"/>
        <v>0.63309167896323859</v>
      </c>
      <c r="I678" s="124"/>
      <c r="J678" s="124"/>
      <c r="K678" s="124"/>
      <c r="L678" s="125"/>
      <c r="M678" s="125"/>
    </row>
    <row r="679" spans="1:13" s="98" customFormat="1" ht="17.45" customHeight="1" x14ac:dyDescent="0.2">
      <c r="A679" s="36" t="s">
        <v>138</v>
      </c>
      <c r="B679" s="31" t="s">
        <v>8</v>
      </c>
      <c r="C679" s="31" t="s">
        <v>496</v>
      </c>
      <c r="D679" s="31" t="s">
        <v>523</v>
      </c>
      <c r="E679" s="31"/>
      <c r="F679" s="29">
        <f>F680+F682+F684+F686</f>
        <v>1558.6999999999998</v>
      </c>
      <c r="G679" s="29">
        <f>G680+G682+G684+G686</f>
        <v>986.8</v>
      </c>
      <c r="H679" s="258">
        <f t="shared" si="106"/>
        <v>0.63309167896323859</v>
      </c>
      <c r="I679" s="124"/>
      <c r="J679" s="124"/>
      <c r="K679" s="124"/>
      <c r="L679" s="125"/>
      <c r="M679" s="125"/>
    </row>
    <row r="680" spans="1:13" s="98" customFormat="1" ht="30" customHeight="1" x14ac:dyDescent="0.2">
      <c r="A680" s="43" t="s">
        <v>23</v>
      </c>
      <c r="B680" s="31" t="s">
        <v>8</v>
      </c>
      <c r="C680" s="31" t="s">
        <v>496</v>
      </c>
      <c r="D680" s="31" t="s">
        <v>523</v>
      </c>
      <c r="E680" s="31" t="s">
        <v>43</v>
      </c>
      <c r="F680" s="29">
        <f>F681</f>
        <v>1285.5</v>
      </c>
      <c r="G680" s="29">
        <f>G681</f>
        <v>841</v>
      </c>
      <c r="H680" s="258">
        <f t="shared" si="106"/>
        <v>0.65422014780241156</v>
      </c>
      <c r="I680" s="124"/>
      <c r="J680" s="124"/>
      <c r="K680" s="124"/>
      <c r="L680" s="125"/>
      <c r="M680" s="125"/>
    </row>
    <row r="681" spans="1:13" s="98" customFormat="1" ht="20.45" customHeight="1" x14ac:dyDescent="0.2">
      <c r="A681" s="43" t="s">
        <v>142</v>
      </c>
      <c r="B681" s="31" t="s">
        <v>8</v>
      </c>
      <c r="C681" s="31" t="s">
        <v>496</v>
      </c>
      <c r="D681" s="31" t="s">
        <v>523</v>
      </c>
      <c r="E681" s="31" t="s">
        <v>143</v>
      </c>
      <c r="F681" s="29">
        <f>1021.1+264.4</f>
        <v>1285.5</v>
      </c>
      <c r="G681" s="29">
        <f>636.8+204.2</f>
        <v>841</v>
      </c>
      <c r="H681" s="258">
        <f t="shared" si="106"/>
        <v>0.65422014780241156</v>
      </c>
      <c r="I681" s="124"/>
      <c r="J681" s="124"/>
      <c r="K681" s="124"/>
      <c r="L681" s="125"/>
      <c r="M681" s="125"/>
    </row>
    <row r="682" spans="1:13" s="98" customFormat="1" ht="30" customHeight="1" x14ac:dyDescent="0.2">
      <c r="A682" s="43" t="s">
        <v>25</v>
      </c>
      <c r="B682" s="31" t="s">
        <v>8</v>
      </c>
      <c r="C682" s="31" t="s">
        <v>496</v>
      </c>
      <c r="D682" s="31" t="s">
        <v>523</v>
      </c>
      <c r="E682" s="31" t="s">
        <v>36</v>
      </c>
      <c r="F682" s="29">
        <f>F683</f>
        <v>273.10000000000002</v>
      </c>
      <c r="G682" s="29">
        <f>G683</f>
        <v>145.80000000000001</v>
      </c>
      <c r="H682" s="258">
        <f t="shared" si="106"/>
        <v>0.53387037715122665</v>
      </c>
      <c r="I682" s="124"/>
      <c r="J682" s="124"/>
      <c r="K682" s="124"/>
      <c r="L682" s="125"/>
      <c r="M682" s="125"/>
    </row>
    <row r="683" spans="1:13" s="98" customFormat="1" ht="30" customHeight="1" x14ac:dyDescent="0.2">
      <c r="A683" s="43" t="s">
        <v>26</v>
      </c>
      <c r="B683" s="31" t="s">
        <v>8</v>
      </c>
      <c r="C683" s="31" t="s">
        <v>496</v>
      </c>
      <c r="D683" s="31" t="s">
        <v>523</v>
      </c>
      <c r="E683" s="31" t="s">
        <v>37</v>
      </c>
      <c r="F683" s="29">
        <v>273.10000000000002</v>
      </c>
      <c r="G683" s="29">
        <v>145.80000000000001</v>
      </c>
      <c r="H683" s="258">
        <f t="shared" si="106"/>
        <v>0.53387037715122665</v>
      </c>
      <c r="I683" s="124"/>
      <c r="J683" s="124"/>
      <c r="K683" s="124"/>
      <c r="L683" s="125"/>
      <c r="M683" s="125"/>
    </row>
    <row r="684" spans="1:13" s="98" customFormat="1" ht="31.5" hidden="1" x14ac:dyDescent="0.2">
      <c r="A684" s="89" t="s">
        <v>150</v>
      </c>
      <c r="B684" s="31" t="s">
        <v>8</v>
      </c>
      <c r="C684" s="31" t="s">
        <v>496</v>
      </c>
      <c r="D684" s="31" t="s">
        <v>523</v>
      </c>
      <c r="E684" s="31" t="s">
        <v>151</v>
      </c>
      <c r="F684" s="29">
        <f>F685</f>
        <v>0</v>
      </c>
      <c r="G684" s="29">
        <f>G685</f>
        <v>0</v>
      </c>
      <c r="H684" s="258" t="e">
        <f t="shared" si="106"/>
        <v>#DIV/0!</v>
      </c>
      <c r="I684" s="124"/>
      <c r="J684" s="124"/>
      <c r="K684" s="124"/>
      <c r="L684" s="125"/>
      <c r="M684" s="125"/>
    </row>
    <row r="685" spans="1:13" s="5" customFormat="1" ht="20.25" hidden="1" customHeight="1" x14ac:dyDescent="0.2">
      <c r="A685" s="89" t="s">
        <v>152</v>
      </c>
      <c r="B685" s="31" t="s">
        <v>8</v>
      </c>
      <c r="C685" s="31" t="s">
        <v>496</v>
      </c>
      <c r="D685" s="31" t="s">
        <v>523</v>
      </c>
      <c r="E685" s="31" t="s">
        <v>153</v>
      </c>
      <c r="F685" s="29"/>
      <c r="G685" s="29"/>
      <c r="H685" s="258" t="e">
        <f t="shared" si="106"/>
        <v>#DIV/0!</v>
      </c>
      <c r="I685" s="124"/>
      <c r="J685" s="124"/>
      <c r="K685" s="124"/>
      <c r="L685" s="125"/>
      <c r="M685" s="125"/>
    </row>
    <row r="686" spans="1:13" s="5" customFormat="1" ht="20.25" customHeight="1" x14ac:dyDescent="0.2">
      <c r="A686" s="89" t="s">
        <v>29</v>
      </c>
      <c r="B686" s="31" t="s">
        <v>8</v>
      </c>
      <c r="C686" s="31" t="s">
        <v>496</v>
      </c>
      <c r="D686" s="31" t="s">
        <v>523</v>
      </c>
      <c r="E686" s="31" t="s">
        <v>130</v>
      </c>
      <c r="F686" s="29">
        <f>F687</f>
        <v>0.1</v>
      </c>
      <c r="G686" s="29">
        <f>G687</f>
        <v>0</v>
      </c>
      <c r="H686" s="258">
        <f t="shared" si="106"/>
        <v>0</v>
      </c>
      <c r="I686" s="124"/>
      <c r="J686" s="124"/>
      <c r="K686" s="124"/>
      <c r="L686" s="125"/>
      <c r="M686" s="125"/>
    </row>
    <row r="687" spans="1:13" s="5" customFormat="1" ht="20.25" customHeight="1" x14ac:dyDescent="0.2">
      <c r="A687" s="89" t="s">
        <v>31</v>
      </c>
      <c r="B687" s="31" t="s">
        <v>8</v>
      </c>
      <c r="C687" s="31" t="s">
        <v>496</v>
      </c>
      <c r="D687" s="31" t="s">
        <v>523</v>
      </c>
      <c r="E687" s="31" t="s">
        <v>168</v>
      </c>
      <c r="F687" s="29">
        <v>0.1</v>
      </c>
      <c r="G687" s="29">
        <v>0</v>
      </c>
      <c r="H687" s="258">
        <f t="shared" si="106"/>
        <v>0</v>
      </c>
      <c r="I687" s="124"/>
      <c r="J687" s="124"/>
      <c r="K687" s="124"/>
      <c r="L687" s="125"/>
      <c r="M687" s="125"/>
    </row>
    <row r="688" spans="1:13" s="28" customFormat="1" x14ac:dyDescent="0.2">
      <c r="A688" s="14" t="s">
        <v>524</v>
      </c>
      <c r="B688" s="15" t="s">
        <v>8</v>
      </c>
      <c r="C688" s="15" t="s">
        <v>496</v>
      </c>
      <c r="D688" s="15" t="s">
        <v>525</v>
      </c>
      <c r="E688" s="15"/>
      <c r="F688" s="25">
        <f>F689</f>
        <v>11942.4</v>
      </c>
      <c r="G688" s="25">
        <f>G689</f>
        <v>7189</v>
      </c>
      <c r="H688" s="258">
        <f t="shared" si="106"/>
        <v>0.6019728027867095</v>
      </c>
      <c r="I688" s="124"/>
      <c r="J688" s="124"/>
      <c r="K688" s="124"/>
      <c r="L688" s="125"/>
      <c r="M688" s="125"/>
    </row>
    <row r="689" spans="1:13" s="98" customFormat="1" ht="18.600000000000001" customHeight="1" x14ac:dyDescent="0.2">
      <c r="A689" s="36" t="s">
        <v>138</v>
      </c>
      <c r="B689" s="31" t="s">
        <v>8</v>
      </c>
      <c r="C689" s="31" t="s">
        <v>496</v>
      </c>
      <c r="D689" s="31" t="s">
        <v>526</v>
      </c>
      <c r="E689" s="31"/>
      <c r="F689" s="29">
        <f>F690+F692+F694+F696</f>
        <v>11942.4</v>
      </c>
      <c r="G689" s="29">
        <f>G690+G692+G694+G696</f>
        <v>7189</v>
      </c>
      <c r="H689" s="258">
        <f t="shared" si="106"/>
        <v>0.6019728027867095</v>
      </c>
      <c r="I689" s="124"/>
      <c r="J689" s="124"/>
      <c r="K689" s="124"/>
      <c r="L689" s="125"/>
      <c r="M689" s="125"/>
    </row>
    <row r="690" spans="1:13" s="98" customFormat="1" ht="65.45" customHeight="1" x14ac:dyDescent="0.2">
      <c r="A690" s="43" t="s">
        <v>23</v>
      </c>
      <c r="B690" s="31" t="s">
        <v>8</v>
      </c>
      <c r="C690" s="31" t="s">
        <v>496</v>
      </c>
      <c r="D690" s="31" t="s">
        <v>526</v>
      </c>
      <c r="E690" s="31" t="s">
        <v>43</v>
      </c>
      <c r="F690" s="29">
        <f>F691</f>
        <v>9777.2000000000007</v>
      </c>
      <c r="G690" s="29">
        <f>G691</f>
        <v>5922.4</v>
      </c>
      <c r="H690" s="258">
        <f t="shared" si="106"/>
        <v>0.60573579347870543</v>
      </c>
      <c r="I690" s="124"/>
      <c r="J690" s="124"/>
      <c r="K690" s="124"/>
      <c r="L690" s="125"/>
      <c r="M690" s="125"/>
    </row>
    <row r="691" spans="1:13" s="5" customFormat="1" ht="20.25" customHeight="1" x14ac:dyDescent="0.2">
      <c r="A691" s="43" t="s">
        <v>142</v>
      </c>
      <c r="B691" s="31" t="s">
        <v>8</v>
      </c>
      <c r="C691" s="31" t="s">
        <v>496</v>
      </c>
      <c r="D691" s="31" t="s">
        <v>526</v>
      </c>
      <c r="E691" s="31" t="s">
        <v>143</v>
      </c>
      <c r="F691" s="29">
        <v>9777.2000000000007</v>
      </c>
      <c r="G691" s="29">
        <f>4562.2+1360.2</f>
        <v>5922.4</v>
      </c>
      <c r="H691" s="258">
        <f t="shared" si="106"/>
        <v>0.60573579347870543</v>
      </c>
      <c r="I691" s="124"/>
      <c r="J691" s="124"/>
      <c r="K691" s="124"/>
      <c r="L691" s="125"/>
      <c r="M691" s="125"/>
    </row>
    <row r="692" spans="1:13" s="28" customFormat="1" ht="31.5" x14ac:dyDescent="0.2">
      <c r="A692" s="43" t="s">
        <v>25</v>
      </c>
      <c r="B692" s="31" t="s">
        <v>8</v>
      </c>
      <c r="C692" s="31" t="s">
        <v>496</v>
      </c>
      <c r="D692" s="31" t="s">
        <v>526</v>
      </c>
      <c r="E692" s="31" t="s">
        <v>36</v>
      </c>
      <c r="F692" s="29">
        <f>F693</f>
        <v>2152.9</v>
      </c>
      <c r="G692" s="29">
        <f>G693</f>
        <v>1266.5999999999999</v>
      </c>
      <c r="H692" s="258">
        <f t="shared" si="106"/>
        <v>0.58832272748385894</v>
      </c>
      <c r="I692" s="124"/>
      <c r="J692" s="124"/>
      <c r="K692" s="124"/>
      <c r="L692" s="125"/>
      <c r="M692" s="125"/>
    </row>
    <row r="693" spans="1:13" s="5" customFormat="1" ht="31.5" x14ac:dyDescent="0.2">
      <c r="A693" s="43" t="s">
        <v>26</v>
      </c>
      <c r="B693" s="31" t="s">
        <v>8</v>
      </c>
      <c r="C693" s="31" t="s">
        <v>496</v>
      </c>
      <c r="D693" s="31" t="s">
        <v>526</v>
      </c>
      <c r="E693" s="31" t="s">
        <v>37</v>
      </c>
      <c r="F693" s="29">
        <v>2152.9</v>
      </c>
      <c r="G693" s="29">
        <v>1266.5999999999999</v>
      </c>
      <c r="H693" s="258">
        <f t="shared" si="106"/>
        <v>0.58832272748385894</v>
      </c>
      <c r="I693" s="124"/>
      <c r="J693" s="124"/>
      <c r="K693" s="124"/>
      <c r="L693" s="125"/>
      <c r="M693" s="125"/>
    </row>
    <row r="694" spans="1:13" s="5" customFormat="1" ht="15.75" customHeight="1" x14ac:dyDescent="0.2">
      <c r="A694" s="89" t="s">
        <v>29</v>
      </c>
      <c r="B694" s="31" t="s">
        <v>8</v>
      </c>
      <c r="C694" s="31" t="s">
        <v>496</v>
      </c>
      <c r="D694" s="31" t="s">
        <v>526</v>
      </c>
      <c r="E694" s="31" t="s">
        <v>130</v>
      </c>
      <c r="F694" s="29">
        <f>F695</f>
        <v>12.3</v>
      </c>
      <c r="G694" s="29">
        <f>G695</f>
        <v>0</v>
      </c>
      <c r="H694" s="258">
        <f t="shared" si="106"/>
        <v>0</v>
      </c>
      <c r="I694" s="124"/>
      <c r="J694" s="124"/>
      <c r="K694" s="124"/>
      <c r="L694" s="125"/>
      <c r="M694" s="125"/>
    </row>
    <row r="695" spans="1:13" s="5" customFormat="1" ht="15.75" customHeight="1" x14ac:dyDescent="0.2">
      <c r="A695" s="89" t="s">
        <v>31</v>
      </c>
      <c r="B695" s="31" t="s">
        <v>8</v>
      </c>
      <c r="C695" s="31" t="s">
        <v>496</v>
      </c>
      <c r="D695" s="31" t="s">
        <v>526</v>
      </c>
      <c r="E695" s="31" t="s">
        <v>168</v>
      </c>
      <c r="F695" s="29">
        <v>12.3</v>
      </c>
      <c r="G695" s="29">
        <v>0</v>
      </c>
      <c r="H695" s="258">
        <f t="shared" si="106"/>
        <v>0</v>
      </c>
      <c r="I695" s="124"/>
      <c r="J695" s="124"/>
      <c r="K695" s="124"/>
      <c r="L695" s="125"/>
      <c r="M695" s="125"/>
    </row>
    <row r="696" spans="1:13" s="5" customFormat="1" ht="15.75" hidden="1" customHeight="1" x14ac:dyDescent="0.2">
      <c r="A696" s="89" t="s">
        <v>527</v>
      </c>
      <c r="B696" s="31" t="s">
        <v>8</v>
      </c>
      <c r="C696" s="31" t="s">
        <v>496</v>
      </c>
      <c r="D696" s="31" t="s">
        <v>528</v>
      </c>
      <c r="E696" s="31"/>
      <c r="F696" s="29">
        <f>F697</f>
        <v>0</v>
      </c>
      <c r="G696" s="29">
        <f>G697</f>
        <v>0</v>
      </c>
      <c r="H696" s="258" t="e">
        <f t="shared" si="106"/>
        <v>#DIV/0!</v>
      </c>
      <c r="I696" s="124"/>
      <c r="J696" s="124"/>
      <c r="K696" s="124"/>
      <c r="L696" s="125"/>
      <c r="M696" s="125"/>
    </row>
    <row r="697" spans="1:13" s="5" customFormat="1" ht="15.75" hidden="1" customHeight="1" x14ac:dyDescent="0.2">
      <c r="A697" s="43" t="s">
        <v>25</v>
      </c>
      <c r="B697" s="31" t="s">
        <v>8</v>
      </c>
      <c r="C697" s="31" t="s">
        <v>496</v>
      </c>
      <c r="D697" s="31" t="s">
        <v>528</v>
      </c>
      <c r="E697" s="31" t="s">
        <v>36</v>
      </c>
      <c r="F697" s="29">
        <f>F698</f>
        <v>0</v>
      </c>
      <c r="G697" s="29">
        <f>G698</f>
        <v>0</v>
      </c>
      <c r="H697" s="258" t="e">
        <f t="shared" si="106"/>
        <v>#DIV/0!</v>
      </c>
      <c r="I697" s="124"/>
      <c r="J697" s="124"/>
      <c r="K697" s="124"/>
      <c r="L697" s="125"/>
      <c r="M697" s="125"/>
    </row>
    <row r="698" spans="1:13" s="5" customFormat="1" ht="15.75" hidden="1" customHeight="1" x14ac:dyDescent="0.2">
      <c r="A698" s="43" t="s">
        <v>26</v>
      </c>
      <c r="B698" s="31" t="s">
        <v>8</v>
      </c>
      <c r="C698" s="31" t="s">
        <v>496</v>
      </c>
      <c r="D698" s="31" t="s">
        <v>528</v>
      </c>
      <c r="E698" s="31" t="s">
        <v>37</v>
      </c>
      <c r="F698" s="29"/>
      <c r="G698" s="29"/>
      <c r="H698" s="258" t="e">
        <f t="shared" si="106"/>
        <v>#DIV/0!</v>
      </c>
      <c r="I698" s="124"/>
      <c r="J698" s="124"/>
      <c r="K698" s="124"/>
      <c r="L698" s="125"/>
      <c r="M698" s="125"/>
    </row>
    <row r="699" spans="1:13" s="5" customFormat="1" x14ac:dyDescent="0.2">
      <c r="A699" s="191" t="s">
        <v>197</v>
      </c>
      <c r="B699" s="15" t="s">
        <v>8</v>
      </c>
      <c r="C699" s="15" t="s">
        <v>496</v>
      </c>
      <c r="D699" s="15" t="s">
        <v>198</v>
      </c>
      <c r="E699" s="15"/>
      <c r="F699" s="25">
        <f>F700+F703+F706+F709</f>
        <v>668</v>
      </c>
      <c r="G699" s="25">
        <f>G700+G703+G706+G709</f>
        <v>663</v>
      </c>
      <c r="H699" s="258">
        <f t="shared" si="106"/>
        <v>0.99251497005988021</v>
      </c>
      <c r="I699" s="124"/>
      <c r="J699" s="124"/>
      <c r="K699" s="124"/>
      <c r="L699" s="125"/>
      <c r="M699" s="125"/>
    </row>
    <row r="700" spans="1:13" s="5" customFormat="1" ht="31.5" x14ac:dyDescent="0.2">
      <c r="A700" s="192" t="s">
        <v>204</v>
      </c>
      <c r="B700" s="162" t="s">
        <v>8</v>
      </c>
      <c r="C700" s="162" t="s">
        <v>496</v>
      </c>
      <c r="D700" s="162" t="s">
        <v>205</v>
      </c>
      <c r="E700" s="162"/>
      <c r="F700" s="42">
        <f>F701</f>
        <v>60</v>
      </c>
      <c r="G700" s="42">
        <f>G701</f>
        <v>60</v>
      </c>
      <c r="H700" s="258">
        <f t="shared" si="106"/>
        <v>1</v>
      </c>
      <c r="I700" s="124"/>
      <c r="J700" s="124"/>
      <c r="K700" s="124"/>
      <c r="L700" s="125"/>
      <c r="M700" s="125"/>
    </row>
    <row r="701" spans="1:13" s="5" customFormat="1" ht="31.5" x14ac:dyDescent="0.2">
      <c r="A701" s="89" t="s">
        <v>150</v>
      </c>
      <c r="B701" s="31" t="s">
        <v>8</v>
      </c>
      <c r="C701" s="31" t="s">
        <v>496</v>
      </c>
      <c r="D701" s="31" t="s">
        <v>205</v>
      </c>
      <c r="E701" s="31" t="s">
        <v>151</v>
      </c>
      <c r="F701" s="104">
        <f>F702</f>
        <v>60</v>
      </c>
      <c r="G701" s="104">
        <f>G702</f>
        <v>60</v>
      </c>
      <c r="H701" s="258">
        <f t="shared" si="106"/>
        <v>1</v>
      </c>
      <c r="I701" s="124"/>
      <c r="J701" s="124"/>
      <c r="K701" s="124"/>
      <c r="L701" s="125"/>
      <c r="M701" s="125"/>
    </row>
    <row r="702" spans="1:13" s="5" customFormat="1" x14ac:dyDescent="0.2">
      <c r="A702" s="89" t="s">
        <v>192</v>
      </c>
      <c r="B702" s="31" t="s">
        <v>8</v>
      </c>
      <c r="C702" s="31" t="s">
        <v>496</v>
      </c>
      <c r="D702" s="31" t="s">
        <v>205</v>
      </c>
      <c r="E702" s="31" t="s">
        <v>193</v>
      </c>
      <c r="F702" s="104">
        <v>60</v>
      </c>
      <c r="G702" s="104">
        <v>60</v>
      </c>
      <c r="H702" s="258">
        <f t="shared" si="106"/>
        <v>1</v>
      </c>
      <c r="I702" s="124"/>
      <c r="J702" s="124"/>
      <c r="K702" s="124"/>
      <c r="L702" s="125"/>
      <c r="M702" s="125"/>
    </row>
    <row r="703" spans="1:13" s="5" customFormat="1" ht="47.25" x14ac:dyDescent="0.2">
      <c r="A703" s="192" t="s">
        <v>208</v>
      </c>
      <c r="B703" s="162" t="s">
        <v>8</v>
      </c>
      <c r="C703" s="162" t="s">
        <v>496</v>
      </c>
      <c r="D703" s="162" t="s">
        <v>209</v>
      </c>
      <c r="E703" s="162"/>
      <c r="F703" s="42">
        <f>F704</f>
        <v>5</v>
      </c>
      <c r="G703" s="42">
        <f>G704</f>
        <v>0</v>
      </c>
      <c r="H703" s="258">
        <f t="shared" si="106"/>
        <v>0</v>
      </c>
      <c r="I703" s="124"/>
      <c r="J703" s="124"/>
      <c r="K703" s="124"/>
      <c r="L703" s="125"/>
      <c r="M703" s="125"/>
    </row>
    <row r="704" spans="1:13" s="5" customFormat="1" ht="31.5" x14ac:dyDescent="0.2">
      <c r="A704" s="89" t="s">
        <v>150</v>
      </c>
      <c r="B704" s="31" t="s">
        <v>8</v>
      </c>
      <c r="C704" s="31" t="s">
        <v>496</v>
      </c>
      <c r="D704" s="193" t="s">
        <v>209</v>
      </c>
      <c r="E704" s="31" t="s">
        <v>151</v>
      </c>
      <c r="F704" s="104">
        <f>F705</f>
        <v>5</v>
      </c>
      <c r="G704" s="104">
        <f>G705</f>
        <v>0</v>
      </c>
      <c r="H704" s="258">
        <f t="shared" si="106"/>
        <v>0</v>
      </c>
      <c r="I704" s="124"/>
      <c r="J704" s="124"/>
      <c r="K704" s="124"/>
      <c r="L704" s="125"/>
      <c r="M704" s="125"/>
    </row>
    <row r="705" spans="1:13" s="5" customFormat="1" x14ac:dyDescent="0.2">
      <c r="A705" s="89" t="s">
        <v>192</v>
      </c>
      <c r="B705" s="31" t="s">
        <v>8</v>
      </c>
      <c r="C705" s="31" t="s">
        <v>496</v>
      </c>
      <c r="D705" s="193" t="s">
        <v>209</v>
      </c>
      <c r="E705" s="31" t="s">
        <v>193</v>
      </c>
      <c r="F705" s="104">
        <v>5</v>
      </c>
      <c r="G705" s="104">
        <v>0</v>
      </c>
      <c r="H705" s="258">
        <f t="shared" si="106"/>
        <v>0</v>
      </c>
      <c r="I705" s="124"/>
      <c r="J705" s="124"/>
      <c r="K705" s="124"/>
      <c r="L705" s="125"/>
      <c r="M705" s="125"/>
    </row>
    <row r="706" spans="1:13" s="98" customFormat="1" ht="63" x14ac:dyDescent="0.2">
      <c r="A706" s="192" t="s">
        <v>214</v>
      </c>
      <c r="B706" s="40" t="s">
        <v>8</v>
      </c>
      <c r="C706" s="40" t="s">
        <v>496</v>
      </c>
      <c r="D706" s="162" t="s">
        <v>215</v>
      </c>
      <c r="E706" s="40"/>
      <c r="F706" s="142">
        <f>F707</f>
        <v>5</v>
      </c>
      <c r="G706" s="142">
        <f>G707</f>
        <v>5</v>
      </c>
      <c r="H706" s="258">
        <f t="shared" si="106"/>
        <v>1</v>
      </c>
      <c r="I706" s="124"/>
      <c r="J706" s="124"/>
      <c r="K706" s="124"/>
      <c r="L706" s="125"/>
      <c r="M706" s="125"/>
    </row>
    <row r="707" spans="1:13" s="5" customFormat="1" ht="31.5" x14ac:dyDescent="0.2">
      <c r="A707" s="89" t="s">
        <v>150</v>
      </c>
      <c r="B707" s="31" t="s">
        <v>8</v>
      </c>
      <c r="C707" s="31" t="s">
        <v>496</v>
      </c>
      <c r="D707" s="193" t="s">
        <v>215</v>
      </c>
      <c r="E707" s="31" t="s">
        <v>151</v>
      </c>
      <c r="F707" s="104">
        <f>F708</f>
        <v>5</v>
      </c>
      <c r="G707" s="104">
        <f>G708</f>
        <v>5</v>
      </c>
      <c r="H707" s="258">
        <f t="shared" si="106"/>
        <v>1</v>
      </c>
      <c r="I707" s="124"/>
      <c r="J707" s="124"/>
      <c r="K707" s="124"/>
      <c r="L707" s="125"/>
      <c r="M707" s="125"/>
    </row>
    <row r="708" spans="1:13" s="5" customFormat="1" x14ac:dyDescent="0.2">
      <c r="A708" s="89" t="s">
        <v>192</v>
      </c>
      <c r="B708" s="31" t="s">
        <v>8</v>
      </c>
      <c r="C708" s="31" t="s">
        <v>496</v>
      </c>
      <c r="D708" s="193" t="s">
        <v>215</v>
      </c>
      <c r="E708" s="31" t="s">
        <v>193</v>
      </c>
      <c r="F708" s="104">
        <v>5</v>
      </c>
      <c r="G708" s="104">
        <v>5</v>
      </c>
      <c r="H708" s="258">
        <f t="shared" si="106"/>
        <v>1</v>
      </c>
      <c r="I708" s="124"/>
      <c r="J708" s="124"/>
      <c r="K708" s="124"/>
      <c r="L708" s="125"/>
      <c r="M708" s="125"/>
    </row>
    <row r="709" spans="1:13" s="5" customFormat="1" ht="31.5" x14ac:dyDescent="0.2">
      <c r="A709" s="105" t="s">
        <v>529</v>
      </c>
      <c r="B709" s="40" t="s">
        <v>8</v>
      </c>
      <c r="C709" s="31" t="s">
        <v>496</v>
      </c>
      <c r="D709" s="40" t="s">
        <v>530</v>
      </c>
      <c r="E709" s="41"/>
      <c r="F709" s="42">
        <f>F710+F712</f>
        <v>598</v>
      </c>
      <c r="G709" s="42">
        <f>G710+G712</f>
        <v>598</v>
      </c>
      <c r="H709" s="258">
        <f t="shared" si="106"/>
        <v>1</v>
      </c>
      <c r="I709" s="124"/>
      <c r="J709" s="124"/>
      <c r="K709" s="124"/>
      <c r="L709" s="125"/>
      <c r="M709" s="125"/>
    </row>
    <row r="710" spans="1:13" s="5" customFormat="1" ht="31.5" x14ac:dyDescent="0.2">
      <c r="A710" s="43" t="s">
        <v>25</v>
      </c>
      <c r="B710" s="31" t="s">
        <v>8</v>
      </c>
      <c r="C710" s="31" t="s">
        <v>496</v>
      </c>
      <c r="D710" s="31" t="s">
        <v>530</v>
      </c>
      <c r="E710" s="141">
        <v>200</v>
      </c>
      <c r="F710" s="29">
        <f>F711</f>
        <v>220</v>
      </c>
      <c r="G710" s="29">
        <f>G711</f>
        <v>220</v>
      </c>
      <c r="H710" s="258">
        <f t="shared" si="106"/>
        <v>1</v>
      </c>
      <c r="I710" s="124"/>
      <c r="J710" s="124"/>
      <c r="K710" s="124"/>
      <c r="L710" s="125"/>
      <c r="M710" s="125"/>
    </row>
    <row r="711" spans="1:13" s="5" customFormat="1" ht="31.5" x14ac:dyDescent="0.2">
      <c r="A711" s="43" t="s">
        <v>26</v>
      </c>
      <c r="B711" s="31" t="s">
        <v>8</v>
      </c>
      <c r="C711" s="31" t="s">
        <v>496</v>
      </c>
      <c r="D711" s="31" t="s">
        <v>530</v>
      </c>
      <c r="E711" s="141">
        <v>240</v>
      </c>
      <c r="F711" s="29">
        <v>220</v>
      </c>
      <c r="G711" s="29">
        <v>220</v>
      </c>
      <c r="H711" s="258">
        <f t="shared" si="106"/>
        <v>1</v>
      </c>
      <c r="I711" s="124"/>
      <c r="J711" s="124"/>
      <c r="K711" s="124"/>
      <c r="L711" s="125"/>
      <c r="M711" s="125"/>
    </row>
    <row r="712" spans="1:13" s="5" customFormat="1" ht="31.5" x14ac:dyDescent="0.2">
      <c r="A712" s="89" t="s">
        <v>150</v>
      </c>
      <c r="B712" s="31" t="s">
        <v>8</v>
      </c>
      <c r="C712" s="31" t="s">
        <v>496</v>
      </c>
      <c r="D712" s="31" t="s">
        <v>530</v>
      </c>
      <c r="E712" s="141">
        <v>600</v>
      </c>
      <c r="F712" s="29">
        <f>F713</f>
        <v>378</v>
      </c>
      <c r="G712" s="29">
        <f>G713</f>
        <v>378</v>
      </c>
      <c r="H712" s="258">
        <f t="shared" si="106"/>
        <v>1</v>
      </c>
      <c r="I712" s="124"/>
      <c r="J712" s="124"/>
      <c r="K712" s="124"/>
      <c r="L712" s="125"/>
      <c r="M712" s="125"/>
    </row>
    <row r="713" spans="1:13" s="5" customFormat="1" x14ac:dyDescent="0.2">
      <c r="A713" s="89" t="s">
        <v>192</v>
      </c>
      <c r="B713" s="31" t="s">
        <v>8</v>
      </c>
      <c r="C713" s="31" t="s">
        <v>496</v>
      </c>
      <c r="D713" s="31" t="s">
        <v>530</v>
      </c>
      <c r="E713" s="141">
        <v>620</v>
      </c>
      <c r="F713" s="29">
        <v>378</v>
      </c>
      <c r="G713" s="29">
        <v>378</v>
      </c>
      <c r="H713" s="258">
        <f t="shared" si="106"/>
        <v>1</v>
      </c>
      <c r="I713" s="124"/>
      <c r="J713" s="124"/>
      <c r="K713" s="124"/>
      <c r="L713" s="125"/>
      <c r="M713" s="125"/>
    </row>
    <row r="714" spans="1:13" s="5" customFormat="1" hidden="1" x14ac:dyDescent="0.2">
      <c r="A714" s="175" t="s">
        <v>29</v>
      </c>
      <c r="B714" s="31" t="s">
        <v>8</v>
      </c>
      <c r="C714" s="31" t="s">
        <v>496</v>
      </c>
      <c r="D714" s="31" t="s">
        <v>530</v>
      </c>
      <c r="E714" s="31" t="s">
        <v>130</v>
      </c>
      <c r="F714" s="29">
        <f>F715</f>
        <v>0</v>
      </c>
      <c r="G714" s="29">
        <f>G715</f>
        <v>0</v>
      </c>
      <c r="H714" s="258" t="e">
        <f t="shared" ref="H714:H777" si="108">G714/F714</f>
        <v>#DIV/0!</v>
      </c>
      <c r="I714" s="124"/>
      <c r="J714" s="124"/>
      <c r="K714" s="124"/>
      <c r="L714" s="125"/>
      <c r="M714" s="125"/>
    </row>
    <row r="715" spans="1:13" s="5" customFormat="1" hidden="1" x14ac:dyDescent="0.2">
      <c r="A715" s="175" t="s">
        <v>31</v>
      </c>
      <c r="B715" s="31" t="s">
        <v>8</v>
      </c>
      <c r="C715" s="31" t="s">
        <v>496</v>
      </c>
      <c r="D715" s="31" t="s">
        <v>530</v>
      </c>
      <c r="E715" s="31" t="s">
        <v>277</v>
      </c>
      <c r="F715" s="29">
        <f>598-598</f>
        <v>0</v>
      </c>
      <c r="G715" s="29">
        <f>598-598</f>
        <v>0</v>
      </c>
      <c r="H715" s="258" t="e">
        <f t="shared" si="108"/>
        <v>#DIV/0!</v>
      </c>
      <c r="I715" s="124"/>
      <c r="J715" s="124"/>
      <c r="K715" s="124"/>
      <c r="L715" s="125"/>
      <c r="M715" s="125"/>
    </row>
    <row r="716" spans="1:13" s="5" customFormat="1" hidden="1" x14ac:dyDescent="0.2">
      <c r="A716" s="175" t="s">
        <v>50</v>
      </c>
      <c r="B716" s="31" t="s">
        <v>8</v>
      </c>
      <c r="C716" s="31" t="s">
        <v>496</v>
      </c>
      <c r="D716" s="31" t="s">
        <v>491</v>
      </c>
      <c r="E716" s="32">
        <v>800</v>
      </c>
      <c r="F716" s="88">
        <f>F717</f>
        <v>0</v>
      </c>
      <c r="G716" s="88">
        <f>G717</f>
        <v>0</v>
      </c>
      <c r="H716" s="258" t="e">
        <f t="shared" si="108"/>
        <v>#DIV/0!</v>
      </c>
      <c r="I716" s="124"/>
      <c r="J716" s="124"/>
      <c r="K716" s="124"/>
      <c r="L716" s="125"/>
      <c r="M716" s="125"/>
    </row>
    <row r="717" spans="1:13" s="28" customFormat="1" hidden="1" x14ac:dyDescent="0.2">
      <c r="A717" s="89" t="s">
        <v>50</v>
      </c>
      <c r="B717" s="31" t="s">
        <v>8</v>
      </c>
      <c r="C717" s="31" t="s">
        <v>496</v>
      </c>
      <c r="D717" s="31" t="s">
        <v>491</v>
      </c>
      <c r="E717" s="32">
        <v>870</v>
      </c>
      <c r="F717" s="88"/>
      <c r="G717" s="88"/>
      <c r="H717" s="258" t="e">
        <f t="shared" si="108"/>
        <v>#DIV/0!</v>
      </c>
      <c r="I717" s="124"/>
      <c r="J717" s="124"/>
      <c r="K717" s="124"/>
      <c r="L717" s="125"/>
      <c r="M717" s="125"/>
    </row>
    <row r="718" spans="1:13" s="28" customFormat="1" x14ac:dyDescent="0.2">
      <c r="A718" s="90" t="s">
        <v>120</v>
      </c>
      <c r="B718" s="15" t="s">
        <v>8</v>
      </c>
      <c r="C718" s="15" t="s">
        <v>496</v>
      </c>
      <c r="D718" s="15" t="s">
        <v>121</v>
      </c>
      <c r="E718" s="24"/>
      <c r="F718" s="80">
        <f>F719</f>
        <v>439.6</v>
      </c>
      <c r="G718" s="80">
        <f>G719</f>
        <v>439.6</v>
      </c>
      <c r="H718" s="258">
        <f t="shared" si="108"/>
        <v>1</v>
      </c>
      <c r="I718" s="124"/>
      <c r="J718" s="124"/>
      <c r="K718" s="124"/>
      <c r="L718" s="125"/>
      <c r="M718" s="125"/>
    </row>
    <row r="719" spans="1:13" s="28" customFormat="1" ht="31.5" x14ac:dyDescent="0.2">
      <c r="A719" s="43" t="s">
        <v>531</v>
      </c>
      <c r="B719" s="31" t="s">
        <v>8</v>
      </c>
      <c r="C719" s="31" t="s">
        <v>496</v>
      </c>
      <c r="D719" s="31" t="s">
        <v>379</v>
      </c>
      <c r="E719" s="32"/>
      <c r="F719" s="83">
        <f>F720+F723</f>
        <v>439.6</v>
      </c>
      <c r="G719" s="83">
        <f>G720+G723</f>
        <v>439.6</v>
      </c>
      <c r="H719" s="258">
        <f t="shared" si="108"/>
        <v>1</v>
      </c>
      <c r="I719" s="124"/>
      <c r="J719" s="124"/>
      <c r="K719" s="124"/>
      <c r="L719" s="125"/>
      <c r="M719" s="125"/>
    </row>
    <row r="720" spans="1:13" s="28" customFormat="1" ht="31.5" x14ac:dyDescent="0.2">
      <c r="A720" s="43" t="s">
        <v>532</v>
      </c>
      <c r="B720" s="31" t="s">
        <v>8</v>
      </c>
      <c r="C720" s="31" t="s">
        <v>496</v>
      </c>
      <c r="D720" s="31" t="s">
        <v>379</v>
      </c>
      <c r="E720" s="32"/>
      <c r="F720" s="83">
        <f>F721</f>
        <v>390</v>
      </c>
      <c r="G720" s="83">
        <f>G721</f>
        <v>390</v>
      </c>
      <c r="H720" s="258">
        <f t="shared" si="108"/>
        <v>1</v>
      </c>
      <c r="I720" s="124"/>
      <c r="J720" s="124"/>
      <c r="K720" s="124"/>
      <c r="L720" s="125"/>
      <c r="M720" s="125"/>
    </row>
    <row r="721" spans="1:13" s="28" customFormat="1" ht="31.5" x14ac:dyDescent="0.2">
      <c r="A721" s="81" t="s">
        <v>25</v>
      </c>
      <c r="B721" s="31" t="s">
        <v>8</v>
      </c>
      <c r="C721" s="31" t="s">
        <v>496</v>
      </c>
      <c r="D721" s="31" t="s">
        <v>379</v>
      </c>
      <c r="E721" s="32">
        <v>200</v>
      </c>
      <c r="F721" s="83">
        <f>F722</f>
        <v>390</v>
      </c>
      <c r="G721" s="83">
        <f>G722</f>
        <v>390</v>
      </c>
      <c r="H721" s="258">
        <f t="shared" si="108"/>
        <v>1</v>
      </c>
      <c r="I721" s="124"/>
      <c r="J721" s="124"/>
      <c r="K721" s="124"/>
      <c r="L721" s="125"/>
      <c r="M721" s="125"/>
    </row>
    <row r="722" spans="1:13" s="28" customFormat="1" ht="31.5" x14ac:dyDescent="0.2">
      <c r="A722" s="81" t="s">
        <v>26</v>
      </c>
      <c r="B722" s="31" t="s">
        <v>8</v>
      </c>
      <c r="C722" s="31" t="s">
        <v>496</v>
      </c>
      <c r="D722" s="31" t="s">
        <v>379</v>
      </c>
      <c r="E722" s="32">
        <v>240</v>
      </c>
      <c r="F722" s="83">
        <v>390</v>
      </c>
      <c r="G722" s="83">
        <v>390</v>
      </c>
      <c r="H722" s="258">
        <f t="shared" si="108"/>
        <v>1</v>
      </c>
      <c r="I722" s="124"/>
      <c r="J722" s="124"/>
      <c r="K722" s="124"/>
      <c r="L722" s="125"/>
      <c r="M722" s="125"/>
    </row>
    <row r="723" spans="1:13" s="28" customFormat="1" ht="31.5" x14ac:dyDescent="0.2">
      <c r="A723" s="89" t="s">
        <v>532</v>
      </c>
      <c r="B723" s="31" t="s">
        <v>8</v>
      </c>
      <c r="C723" s="31" t="s">
        <v>496</v>
      </c>
      <c r="D723" s="31" t="s">
        <v>533</v>
      </c>
      <c r="E723" s="32"/>
      <c r="F723" s="88">
        <f>F724</f>
        <v>49.6</v>
      </c>
      <c r="G723" s="88">
        <f>G724</f>
        <v>49.6</v>
      </c>
      <c r="H723" s="258">
        <f t="shared" si="108"/>
        <v>1</v>
      </c>
      <c r="I723" s="124"/>
      <c r="J723" s="124"/>
      <c r="K723" s="124"/>
      <c r="L723" s="125"/>
      <c r="M723" s="125"/>
    </row>
    <row r="724" spans="1:13" s="28" customFormat="1" ht="31.5" x14ac:dyDescent="0.2">
      <c r="A724" s="89" t="s">
        <v>150</v>
      </c>
      <c r="B724" s="31" t="s">
        <v>8</v>
      </c>
      <c r="C724" s="31" t="s">
        <v>496</v>
      </c>
      <c r="D724" s="31" t="s">
        <v>379</v>
      </c>
      <c r="E724" s="32">
        <v>600</v>
      </c>
      <c r="F724" s="88">
        <f>F725</f>
        <v>49.6</v>
      </c>
      <c r="G724" s="88">
        <f>G725</f>
        <v>49.6</v>
      </c>
      <c r="H724" s="258">
        <f t="shared" si="108"/>
        <v>1</v>
      </c>
      <c r="I724" s="124"/>
      <c r="J724" s="124"/>
      <c r="K724" s="124"/>
      <c r="L724" s="125"/>
      <c r="M724" s="125"/>
    </row>
    <row r="725" spans="1:13" s="28" customFormat="1" x14ac:dyDescent="0.2">
      <c r="A725" s="89" t="s">
        <v>192</v>
      </c>
      <c r="B725" s="31" t="s">
        <v>8</v>
      </c>
      <c r="C725" s="31" t="s">
        <v>496</v>
      </c>
      <c r="D725" s="31" t="s">
        <v>379</v>
      </c>
      <c r="E725" s="32">
        <v>620</v>
      </c>
      <c r="F725" s="88">
        <v>49.6</v>
      </c>
      <c r="G725" s="88">
        <v>49.6</v>
      </c>
      <c r="H725" s="258">
        <f t="shared" si="108"/>
        <v>1</v>
      </c>
      <c r="I725" s="124"/>
      <c r="J725" s="124"/>
      <c r="K725" s="124"/>
      <c r="L725" s="125"/>
      <c r="M725" s="125"/>
    </row>
    <row r="726" spans="1:13" s="5" customFormat="1" x14ac:dyDescent="0.2">
      <c r="A726" s="14" t="s">
        <v>534</v>
      </c>
      <c r="B726" s="15" t="s">
        <v>8</v>
      </c>
      <c r="C726" s="15" t="s">
        <v>535</v>
      </c>
      <c r="D726" s="24"/>
      <c r="E726" s="24"/>
      <c r="F726" s="80">
        <f>F727+F751</f>
        <v>24671.3</v>
      </c>
      <c r="G726" s="80">
        <f>G727+G751</f>
        <v>16009.400000000001</v>
      </c>
      <c r="H726" s="258">
        <f t="shared" si="108"/>
        <v>0.64890784028405479</v>
      </c>
      <c r="I726" s="124"/>
      <c r="J726" s="124"/>
      <c r="K726" s="124"/>
      <c r="L726" s="125"/>
      <c r="M726" s="125"/>
    </row>
    <row r="727" spans="1:13" s="5" customFormat="1" ht="15.75" customHeight="1" x14ac:dyDescent="0.2">
      <c r="A727" s="33" t="s">
        <v>536</v>
      </c>
      <c r="B727" s="34" t="s">
        <v>8</v>
      </c>
      <c r="C727" s="34" t="s">
        <v>537</v>
      </c>
      <c r="D727" s="34"/>
      <c r="E727" s="41"/>
      <c r="F727" s="35">
        <f>F728+F737+F743</f>
        <v>2010.6000000000001</v>
      </c>
      <c r="G727" s="35">
        <f>G728+G737+G743</f>
        <v>1967.3000000000002</v>
      </c>
      <c r="H727" s="258">
        <f t="shared" si="108"/>
        <v>0.97846414005769422</v>
      </c>
      <c r="I727" s="124"/>
      <c r="J727" s="124"/>
      <c r="K727" s="124"/>
      <c r="L727" s="125"/>
      <c r="M727" s="125"/>
    </row>
    <row r="728" spans="1:13" s="28" customFormat="1" ht="35.450000000000003" customHeight="1" x14ac:dyDescent="0.2">
      <c r="A728" s="23" t="s">
        <v>538</v>
      </c>
      <c r="B728" s="15" t="s">
        <v>8</v>
      </c>
      <c r="C728" s="15" t="s">
        <v>537</v>
      </c>
      <c r="D728" s="15" t="s">
        <v>539</v>
      </c>
      <c r="E728" s="24"/>
      <c r="F728" s="25">
        <f>F729</f>
        <v>1831.6000000000001</v>
      </c>
      <c r="G728" s="25">
        <f>G729</f>
        <v>1831.6000000000001</v>
      </c>
      <c r="H728" s="258">
        <f t="shared" si="108"/>
        <v>1</v>
      </c>
      <c r="I728" s="124"/>
      <c r="J728" s="124"/>
      <c r="K728" s="124"/>
      <c r="L728" s="125"/>
      <c r="M728" s="125"/>
    </row>
    <row r="729" spans="1:13" s="28" customFormat="1" ht="31.5" x14ac:dyDescent="0.2">
      <c r="A729" s="133" t="s">
        <v>540</v>
      </c>
      <c r="B729" s="31" t="s">
        <v>8</v>
      </c>
      <c r="C729" s="31" t="s">
        <v>537</v>
      </c>
      <c r="D729" s="32" t="s">
        <v>541</v>
      </c>
      <c r="E729" s="32"/>
      <c r="F729" s="29">
        <f>F730</f>
        <v>1831.6000000000001</v>
      </c>
      <c r="G729" s="29">
        <f>G730</f>
        <v>1831.6000000000001</v>
      </c>
      <c r="H729" s="258">
        <f t="shared" si="108"/>
        <v>1</v>
      </c>
      <c r="I729" s="124"/>
      <c r="J729" s="124"/>
      <c r="K729" s="124"/>
      <c r="L729" s="125"/>
      <c r="M729" s="125"/>
    </row>
    <row r="730" spans="1:13" s="28" customFormat="1" ht="47.25" x14ac:dyDescent="0.2">
      <c r="A730" s="133" t="s">
        <v>542</v>
      </c>
      <c r="B730" s="31" t="s">
        <v>8</v>
      </c>
      <c r="C730" s="31" t="s">
        <v>537</v>
      </c>
      <c r="D730" s="32" t="s">
        <v>543</v>
      </c>
      <c r="E730" s="32"/>
      <c r="F730" s="29">
        <f>F731+F734</f>
        <v>1831.6000000000001</v>
      </c>
      <c r="G730" s="29">
        <f>G731+G734</f>
        <v>1831.6000000000001</v>
      </c>
      <c r="H730" s="258">
        <f t="shared" si="108"/>
        <v>1</v>
      </c>
      <c r="I730" s="124"/>
      <c r="J730" s="124"/>
      <c r="K730" s="124"/>
      <c r="L730" s="125"/>
      <c r="M730" s="125"/>
    </row>
    <row r="731" spans="1:13" s="28" customFormat="1" ht="23.45" customHeight="1" x14ac:dyDescent="0.2">
      <c r="A731" s="30" t="s">
        <v>544</v>
      </c>
      <c r="B731" s="31" t="s">
        <v>8</v>
      </c>
      <c r="C731" s="31" t="s">
        <v>537</v>
      </c>
      <c r="D731" s="32" t="s">
        <v>545</v>
      </c>
      <c r="E731" s="32"/>
      <c r="F731" s="29">
        <f>F732</f>
        <v>1150.9000000000001</v>
      </c>
      <c r="G731" s="29">
        <f>G732</f>
        <v>1150.9000000000001</v>
      </c>
      <c r="H731" s="258">
        <f t="shared" si="108"/>
        <v>1</v>
      </c>
      <c r="I731" s="124"/>
      <c r="J731" s="124"/>
      <c r="K731" s="124"/>
      <c r="L731" s="125"/>
      <c r="M731" s="125"/>
    </row>
    <row r="732" spans="1:13" s="28" customFormat="1" ht="21.6" customHeight="1" x14ac:dyDescent="0.2">
      <c r="A732" s="30" t="s">
        <v>27</v>
      </c>
      <c r="B732" s="31" t="s">
        <v>8</v>
      </c>
      <c r="C732" s="31" t="s">
        <v>537</v>
      </c>
      <c r="D732" s="32" t="s">
        <v>545</v>
      </c>
      <c r="E732" s="32">
        <v>300</v>
      </c>
      <c r="F732" s="29">
        <f>F733</f>
        <v>1150.9000000000001</v>
      </c>
      <c r="G732" s="29">
        <f>G733</f>
        <v>1150.9000000000001</v>
      </c>
      <c r="H732" s="258">
        <f t="shared" si="108"/>
        <v>1</v>
      </c>
      <c r="I732" s="124"/>
      <c r="J732" s="124"/>
      <c r="K732" s="124"/>
      <c r="L732" s="125"/>
      <c r="M732" s="125"/>
    </row>
    <row r="733" spans="1:13" s="28" customFormat="1" ht="31.5" x14ac:dyDescent="0.2">
      <c r="A733" s="30" t="s">
        <v>185</v>
      </c>
      <c r="B733" s="31" t="s">
        <v>8</v>
      </c>
      <c r="C733" s="31" t="s">
        <v>537</v>
      </c>
      <c r="D733" s="32" t="s">
        <v>545</v>
      </c>
      <c r="E733" s="32">
        <v>320</v>
      </c>
      <c r="F733" s="29">
        <v>1150.9000000000001</v>
      </c>
      <c r="G733" s="29">
        <v>1150.9000000000001</v>
      </c>
      <c r="H733" s="258">
        <f t="shared" si="108"/>
        <v>1</v>
      </c>
      <c r="I733" s="124"/>
      <c r="J733" s="124"/>
      <c r="K733" s="124"/>
      <c r="L733" s="125"/>
      <c r="M733" s="125"/>
    </row>
    <row r="734" spans="1:13" s="28" customFormat="1" ht="19.149999999999999" customHeight="1" x14ac:dyDescent="0.2">
      <c r="A734" s="133" t="s">
        <v>544</v>
      </c>
      <c r="B734" s="31" t="s">
        <v>8</v>
      </c>
      <c r="C734" s="31" t="s">
        <v>537</v>
      </c>
      <c r="D734" s="32" t="s">
        <v>546</v>
      </c>
      <c r="E734" s="32"/>
      <c r="F734" s="29">
        <f>F735</f>
        <v>680.7</v>
      </c>
      <c r="G734" s="29">
        <f>G735</f>
        <v>680.7</v>
      </c>
      <c r="H734" s="258">
        <f t="shared" si="108"/>
        <v>1</v>
      </c>
      <c r="I734" s="124"/>
      <c r="J734" s="124"/>
      <c r="K734" s="124"/>
      <c r="L734" s="125"/>
      <c r="M734" s="125"/>
    </row>
    <row r="735" spans="1:13" s="5" customFormat="1" x14ac:dyDescent="0.2">
      <c r="A735" s="30" t="s">
        <v>27</v>
      </c>
      <c r="B735" s="31" t="s">
        <v>8</v>
      </c>
      <c r="C735" s="31" t="s">
        <v>537</v>
      </c>
      <c r="D735" s="32" t="s">
        <v>546</v>
      </c>
      <c r="E735" s="32">
        <v>300</v>
      </c>
      <c r="F735" s="29">
        <f>F736</f>
        <v>680.7</v>
      </c>
      <c r="G735" s="29">
        <f>G736</f>
        <v>680.7</v>
      </c>
      <c r="H735" s="258">
        <f t="shared" si="108"/>
        <v>1</v>
      </c>
      <c r="I735" s="124"/>
      <c r="J735" s="124"/>
      <c r="K735" s="124"/>
      <c r="L735" s="125"/>
      <c r="M735" s="125"/>
    </row>
    <row r="736" spans="1:13" s="5" customFormat="1" ht="31.5" x14ac:dyDescent="0.2">
      <c r="A736" s="30" t="s">
        <v>185</v>
      </c>
      <c r="B736" s="31" t="s">
        <v>8</v>
      </c>
      <c r="C736" s="31" t="s">
        <v>537</v>
      </c>
      <c r="D736" s="32" t="s">
        <v>546</v>
      </c>
      <c r="E736" s="32">
        <v>320</v>
      </c>
      <c r="F736" s="29">
        <f>565+115.7</f>
        <v>680.7</v>
      </c>
      <c r="G736" s="29">
        <f>565+115.7</f>
        <v>680.7</v>
      </c>
      <c r="H736" s="258">
        <f t="shared" si="108"/>
        <v>1</v>
      </c>
      <c r="I736" s="124"/>
      <c r="J736" s="124"/>
      <c r="K736" s="124"/>
      <c r="L736" s="125"/>
      <c r="M736" s="125"/>
    </row>
    <row r="737" spans="1:13" s="5" customFormat="1" x14ac:dyDescent="0.2">
      <c r="A737" s="14" t="s">
        <v>197</v>
      </c>
      <c r="B737" s="15" t="s">
        <v>8</v>
      </c>
      <c r="C737" s="15" t="s">
        <v>537</v>
      </c>
      <c r="D737" s="194" t="s">
        <v>546</v>
      </c>
      <c r="E737" s="24"/>
      <c r="F737" s="16">
        <f t="shared" ref="F737:G741" si="109">F738</f>
        <v>35.799999999999997</v>
      </c>
      <c r="G737" s="16">
        <f t="shared" si="109"/>
        <v>35.799999999999997</v>
      </c>
      <c r="H737" s="258">
        <f t="shared" si="108"/>
        <v>1</v>
      </c>
      <c r="I737" s="124"/>
      <c r="J737" s="124"/>
      <c r="K737" s="124"/>
      <c r="L737" s="125"/>
      <c r="M737" s="125"/>
    </row>
    <row r="738" spans="1:13" s="5" customFormat="1" ht="31.5" x14ac:dyDescent="0.2">
      <c r="A738" s="85" t="s">
        <v>547</v>
      </c>
      <c r="B738" s="40" t="s">
        <v>8</v>
      </c>
      <c r="C738" s="40" t="s">
        <v>537</v>
      </c>
      <c r="D738" s="32" t="s">
        <v>546</v>
      </c>
      <c r="E738" s="106"/>
      <c r="F738" s="142">
        <f t="shared" si="109"/>
        <v>35.799999999999997</v>
      </c>
      <c r="G738" s="142">
        <f t="shared" si="109"/>
        <v>35.799999999999997</v>
      </c>
      <c r="H738" s="258">
        <f t="shared" si="108"/>
        <v>1</v>
      </c>
      <c r="I738" s="124"/>
      <c r="J738" s="124"/>
      <c r="K738" s="124"/>
      <c r="L738" s="125"/>
      <c r="M738" s="125"/>
    </row>
    <row r="739" spans="1:13" s="5" customFormat="1" ht="47.25" x14ac:dyDescent="0.2">
      <c r="A739" s="30" t="s">
        <v>548</v>
      </c>
      <c r="B739" s="193" t="s">
        <v>8</v>
      </c>
      <c r="C739" s="193" t="s">
        <v>537</v>
      </c>
      <c r="D739" s="32" t="s">
        <v>546</v>
      </c>
      <c r="E739" s="195"/>
      <c r="F739" s="42">
        <f t="shared" si="109"/>
        <v>35.799999999999997</v>
      </c>
      <c r="G739" s="42">
        <f t="shared" si="109"/>
        <v>35.799999999999997</v>
      </c>
      <c r="H739" s="258">
        <f t="shared" si="108"/>
        <v>1</v>
      </c>
      <c r="I739" s="124"/>
      <c r="J739" s="124"/>
      <c r="K739" s="124"/>
      <c r="L739" s="125"/>
      <c r="M739" s="125"/>
    </row>
    <row r="740" spans="1:13" s="5" customFormat="1" ht="63" x14ac:dyDescent="0.2">
      <c r="A740" s="30" t="s">
        <v>549</v>
      </c>
      <c r="B740" s="31" t="s">
        <v>8</v>
      </c>
      <c r="C740" s="31" t="s">
        <v>537</v>
      </c>
      <c r="D740" s="32" t="s">
        <v>546</v>
      </c>
      <c r="E740" s="32"/>
      <c r="F740" s="104">
        <f t="shared" si="109"/>
        <v>35.799999999999997</v>
      </c>
      <c r="G740" s="104">
        <f t="shared" si="109"/>
        <v>35.799999999999997</v>
      </c>
      <c r="H740" s="258">
        <f t="shared" si="108"/>
        <v>1</v>
      </c>
      <c r="I740" s="124"/>
      <c r="J740" s="124"/>
      <c r="K740" s="124"/>
      <c r="L740" s="125"/>
      <c r="M740" s="125"/>
    </row>
    <row r="741" spans="1:13" s="5" customFormat="1" x14ac:dyDescent="0.2">
      <c r="A741" s="133" t="s">
        <v>27</v>
      </c>
      <c r="B741" s="31" t="s">
        <v>8</v>
      </c>
      <c r="C741" s="31" t="s">
        <v>537</v>
      </c>
      <c r="D741" s="32" t="s">
        <v>546</v>
      </c>
      <c r="E741" s="32">
        <v>300</v>
      </c>
      <c r="F741" s="104">
        <f t="shared" si="109"/>
        <v>35.799999999999997</v>
      </c>
      <c r="G741" s="104">
        <f t="shared" si="109"/>
        <v>35.799999999999997</v>
      </c>
      <c r="H741" s="258">
        <f t="shared" si="108"/>
        <v>1</v>
      </c>
      <c r="I741" s="124"/>
      <c r="J741" s="124"/>
      <c r="K741" s="124"/>
      <c r="L741" s="125"/>
      <c r="M741" s="125"/>
    </row>
    <row r="742" spans="1:13" s="5" customFormat="1" ht="31.5" x14ac:dyDescent="0.2">
      <c r="A742" s="196" t="s">
        <v>185</v>
      </c>
      <c r="B742" s="100" t="s">
        <v>8</v>
      </c>
      <c r="C742" s="100" t="s">
        <v>537</v>
      </c>
      <c r="D742" s="32" t="s">
        <v>546</v>
      </c>
      <c r="E742" s="101" t="s">
        <v>550</v>
      </c>
      <c r="F742" s="114">
        <v>35.799999999999997</v>
      </c>
      <c r="G742" s="114">
        <v>35.799999999999997</v>
      </c>
      <c r="H742" s="258">
        <f t="shared" si="108"/>
        <v>1</v>
      </c>
      <c r="I742" s="124"/>
      <c r="J742" s="124"/>
      <c r="K742" s="124"/>
      <c r="L742" s="125"/>
      <c r="M742" s="125"/>
    </row>
    <row r="743" spans="1:13" s="45" customFormat="1" x14ac:dyDescent="0.2">
      <c r="A743" s="14" t="s">
        <v>197</v>
      </c>
      <c r="B743" s="15" t="s">
        <v>8</v>
      </c>
      <c r="C743" s="15" t="s">
        <v>537</v>
      </c>
      <c r="D743" s="15" t="s">
        <v>198</v>
      </c>
      <c r="E743" s="24"/>
      <c r="F743" s="16">
        <f>F744</f>
        <v>143.19999999999999</v>
      </c>
      <c r="G743" s="16">
        <f>G744</f>
        <v>99.9</v>
      </c>
      <c r="H743" s="258">
        <f t="shared" si="108"/>
        <v>0.69762569832402244</v>
      </c>
      <c r="I743" s="124"/>
      <c r="J743" s="124"/>
      <c r="K743" s="124"/>
      <c r="L743" s="125"/>
      <c r="M743" s="125"/>
    </row>
    <row r="744" spans="1:13" s="45" customFormat="1" ht="31.5" x14ac:dyDescent="0.2">
      <c r="A744" s="85" t="s">
        <v>551</v>
      </c>
      <c r="B744" s="40" t="s">
        <v>8</v>
      </c>
      <c r="C744" s="40" t="s">
        <v>537</v>
      </c>
      <c r="D744" s="106" t="s">
        <v>552</v>
      </c>
      <c r="E744" s="106"/>
      <c r="F744" s="142">
        <f>F745+F748</f>
        <v>143.19999999999999</v>
      </c>
      <c r="G744" s="142">
        <f>G745+G748</f>
        <v>99.9</v>
      </c>
      <c r="H744" s="258">
        <f t="shared" si="108"/>
        <v>0.69762569832402244</v>
      </c>
      <c r="I744" s="124"/>
      <c r="J744" s="124"/>
      <c r="K744" s="124"/>
      <c r="L744" s="125"/>
      <c r="M744" s="125"/>
    </row>
    <row r="745" spans="1:13" s="45" customFormat="1" ht="47.25" x14ac:dyDescent="0.2">
      <c r="A745" s="103" t="s">
        <v>553</v>
      </c>
      <c r="B745" s="31" t="s">
        <v>8</v>
      </c>
      <c r="C745" s="31" t="s">
        <v>537</v>
      </c>
      <c r="D745" s="141" t="s">
        <v>552</v>
      </c>
      <c r="E745" s="32"/>
      <c r="F745" s="29">
        <f>F746</f>
        <v>43.3</v>
      </c>
      <c r="G745" s="29">
        <f>G746</f>
        <v>0</v>
      </c>
      <c r="H745" s="258">
        <f t="shared" si="108"/>
        <v>0</v>
      </c>
      <c r="I745" s="124"/>
      <c r="J745" s="124"/>
      <c r="K745" s="124"/>
      <c r="L745" s="125"/>
      <c r="M745" s="125"/>
    </row>
    <row r="746" spans="1:13" s="45" customFormat="1" x14ac:dyDescent="0.2">
      <c r="A746" s="133" t="s">
        <v>27</v>
      </c>
      <c r="B746" s="31" t="s">
        <v>8</v>
      </c>
      <c r="C746" s="31" t="s">
        <v>537</v>
      </c>
      <c r="D746" s="141" t="s">
        <v>552</v>
      </c>
      <c r="E746" s="32">
        <v>300</v>
      </c>
      <c r="F746" s="29">
        <f>F747</f>
        <v>43.3</v>
      </c>
      <c r="G746" s="29">
        <f>G747</f>
        <v>0</v>
      </c>
      <c r="H746" s="258">
        <f t="shared" si="108"/>
        <v>0</v>
      </c>
      <c r="I746" s="124"/>
      <c r="J746" s="124"/>
      <c r="K746" s="124"/>
      <c r="L746" s="125"/>
      <c r="M746" s="125"/>
    </row>
    <row r="747" spans="1:13" s="116" customFormat="1" ht="31.5" x14ac:dyDescent="0.2">
      <c r="A747" s="196" t="s">
        <v>185</v>
      </c>
      <c r="B747" s="100" t="s">
        <v>8</v>
      </c>
      <c r="C747" s="100" t="s">
        <v>537</v>
      </c>
      <c r="D747" s="141" t="s">
        <v>552</v>
      </c>
      <c r="E747" s="101" t="s">
        <v>550</v>
      </c>
      <c r="F747" s="97">
        <v>43.3</v>
      </c>
      <c r="G747" s="97">
        <v>0</v>
      </c>
      <c r="H747" s="258">
        <f t="shared" si="108"/>
        <v>0</v>
      </c>
      <c r="I747" s="124"/>
      <c r="J747" s="124"/>
      <c r="K747" s="124"/>
      <c r="L747" s="125"/>
      <c r="M747" s="125"/>
    </row>
    <row r="748" spans="1:13" s="45" customFormat="1" ht="47.25" x14ac:dyDescent="0.2">
      <c r="A748" s="30" t="s">
        <v>554</v>
      </c>
      <c r="B748" s="31" t="s">
        <v>8</v>
      </c>
      <c r="C748" s="31" t="s">
        <v>537</v>
      </c>
      <c r="D748" s="101" t="s">
        <v>555</v>
      </c>
      <c r="E748" s="32"/>
      <c r="F748" s="29">
        <f>F749</f>
        <v>99.9</v>
      </c>
      <c r="G748" s="29">
        <f>G749</f>
        <v>99.9</v>
      </c>
      <c r="H748" s="258">
        <f t="shared" si="108"/>
        <v>1</v>
      </c>
      <c r="I748" s="124"/>
      <c r="J748" s="124"/>
      <c r="K748" s="124"/>
      <c r="L748" s="125"/>
      <c r="M748" s="125"/>
    </row>
    <row r="749" spans="1:13" s="45" customFormat="1" x14ac:dyDescent="0.2">
      <c r="A749" s="133" t="s">
        <v>27</v>
      </c>
      <c r="B749" s="31" t="s">
        <v>8</v>
      </c>
      <c r="C749" s="31" t="s">
        <v>537</v>
      </c>
      <c r="D749" s="101" t="s">
        <v>555</v>
      </c>
      <c r="E749" s="32">
        <v>300</v>
      </c>
      <c r="F749" s="29">
        <f>F750</f>
        <v>99.9</v>
      </c>
      <c r="G749" s="29">
        <f>G750</f>
        <v>99.9</v>
      </c>
      <c r="H749" s="258">
        <f t="shared" si="108"/>
        <v>1</v>
      </c>
      <c r="I749" s="124"/>
      <c r="J749" s="124"/>
      <c r="K749" s="124"/>
      <c r="L749" s="125"/>
      <c r="M749" s="125"/>
    </row>
    <row r="750" spans="1:13" s="116" customFormat="1" ht="31.5" x14ac:dyDescent="0.2">
      <c r="A750" s="196" t="s">
        <v>185</v>
      </c>
      <c r="B750" s="100" t="s">
        <v>8</v>
      </c>
      <c r="C750" s="100" t="s">
        <v>537</v>
      </c>
      <c r="D750" s="101" t="s">
        <v>555</v>
      </c>
      <c r="E750" s="101" t="s">
        <v>550</v>
      </c>
      <c r="F750" s="97">
        <v>99.9</v>
      </c>
      <c r="G750" s="97">
        <v>99.9</v>
      </c>
      <c r="H750" s="258">
        <f t="shared" si="108"/>
        <v>1</v>
      </c>
      <c r="I750" s="124"/>
      <c r="J750" s="124"/>
      <c r="K750" s="124"/>
      <c r="L750" s="125"/>
      <c r="M750" s="125"/>
    </row>
    <row r="751" spans="1:13" s="45" customFormat="1" x14ac:dyDescent="0.2">
      <c r="A751" s="33" t="s">
        <v>556</v>
      </c>
      <c r="B751" s="34" t="s">
        <v>8</v>
      </c>
      <c r="C751" s="34">
        <v>1004</v>
      </c>
      <c r="D751" s="34"/>
      <c r="E751" s="41"/>
      <c r="F751" s="35">
        <f>F752</f>
        <v>22660.7</v>
      </c>
      <c r="G751" s="35">
        <f>G752</f>
        <v>14042.1</v>
      </c>
      <c r="H751" s="258">
        <f t="shared" si="108"/>
        <v>0.61966753012925457</v>
      </c>
      <c r="I751" s="124"/>
      <c r="J751" s="124"/>
      <c r="K751" s="124"/>
      <c r="L751" s="125"/>
      <c r="M751" s="125"/>
    </row>
    <row r="752" spans="1:13" s="98" customFormat="1" ht="31.5" x14ac:dyDescent="0.2">
      <c r="A752" s="197" t="s">
        <v>80</v>
      </c>
      <c r="B752" s="15" t="s">
        <v>8</v>
      </c>
      <c r="C752" s="15" t="s">
        <v>557</v>
      </c>
      <c r="D752" s="15" t="s">
        <v>81</v>
      </c>
      <c r="E752" s="24"/>
      <c r="F752" s="25">
        <f>F753</f>
        <v>22660.7</v>
      </c>
      <c r="G752" s="25">
        <f>G753</f>
        <v>14042.1</v>
      </c>
      <c r="H752" s="258">
        <f t="shared" si="108"/>
        <v>0.61966753012925457</v>
      </c>
      <c r="I752" s="124"/>
      <c r="J752" s="124"/>
      <c r="K752" s="124"/>
      <c r="L752" s="125"/>
      <c r="M752" s="125"/>
    </row>
    <row r="753" spans="1:13" s="72" customFormat="1" ht="31.5" x14ac:dyDescent="0.2">
      <c r="A753" s="198" t="s">
        <v>92</v>
      </c>
      <c r="B753" s="199" t="s">
        <v>8</v>
      </c>
      <c r="C753" s="199" t="s">
        <v>557</v>
      </c>
      <c r="D753" s="199" t="s">
        <v>93</v>
      </c>
      <c r="E753" s="199"/>
      <c r="F753" s="49">
        <f>F754+F767</f>
        <v>22660.7</v>
      </c>
      <c r="G753" s="49">
        <f>G754+G767+0.1</f>
        <v>14042.1</v>
      </c>
      <c r="H753" s="258">
        <f t="shared" si="108"/>
        <v>0.61966753012925457</v>
      </c>
      <c r="I753" s="124"/>
      <c r="J753" s="124"/>
      <c r="K753" s="124"/>
      <c r="L753" s="125"/>
      <c r="M753" s="125"/>
    </row>
    <row r="754" spans="1:13" s="72" customFormat="1" ht="47.25" x14ac:dyDescent="0.2">
      <c r="A754" s="198" t="s">
        <v>98</v>
      </c>
      <c r="B754" s="199" t="s">
        <v>8</v>
      </c>
      <c r="C754" s="199" t="s">
        <v>557</v>
      </c>
      <c r="D754" s="199" t="s">
        <v>99</v>
      </c>
      <c r="E754" s="199"/>
      <c r="F754" s="49">
        <f>F755+F760+F763</f>
        <v>22279.8</v>
      </c>
      <c r="G754" s="49">
        <f>G755+G760+G763</f>
        <v>13831.4</v>
      </c>
      <c r="H754" s="258">
        <f t="shared" si="108"/>
        <v>0.62080449555202466</v>
      </c>
      <c r="I754" s="124"/>
      <c r="J754" s="124"/>
      <c r="K754" s="124"/>
      <c r="L754" s="125"/>
      <c r="M754" s="125"/>
    </row>
    <row r="755" spans="1:13" s="72" customFormat="1" ht="47.25" hidden="1" x14ac:dyDescent="0.2">
      <c r="A755" s="198" t="s">
        <v>558</v>
      </c>
      <c r="B755" s="199" t="s">
        <v>8</v>
      </c>
      <c r="C755" s="199" t="s">
        <v>557</v>
      </c>
      <c r="D755" s="199" t="s">
        <v>559</v>
      </c>
      <c r="E755" s="199"/>
      <c r="F755" s="49">
        <f>F756</f>
        <v>0</v>
      </c>
      <c r="G755" s="49">
        <f>G756</f>
        <v>0</v>
      </c>
      <c r="H755" s="258" t="e">
        <f t="shared" si="108"/>
        <v>#DIV/0!</v>
      </c>
      <c r="I755" s="124"/>
      <c r="J755" s="124"/>
      <c r="K755" s="124"/>
      <c r="L755" s="125"/>
      <c r="M755" s="125"/>
    </row>
    <row r="756" spans="1:13" s="72" customFormat="1" ht="31.5" hidden="1" x14ac:dyDescent="0.2">
      <c r="A756" s="81" t="s">
        <v>25</v>
      </c>
      <c r="B756" s="199" t="s">
        <v>8</v>
      </c>
      <c r="C756" s="199" t="s">
        <v>557</v>
      </c>
      <c r="D756" s="199" t="s">
        <v>559</v>
      </c>
      <c r="E756" s="199" t="s">
        <v>36</v>
      </c>
      <c r="F756" s="49">
        <f>F757</f>
        <v>0</v>
      </c>
      <c r="G756" s="49">
        <f>G757</f>
        <v>0</v>
      </c>
      <c r="H756" s="258" t="e">
        <f t="shared" si="108"/>
        <v>#DIV/0!</v>
      </c>
      <c r="I756" s="124"/>
      <c r="J756" s="124"/>
      <c r="K756" s="124"/>
      <c r="L756" s="125"/>
      <c r="M756" s="125"/>
    </row>
    <row r="757" spans="1:13" s="72" customFormat="1" ht="31.5" hidden="1" x14ac:dyDescent="0.2">
      <c r="A757" s="81" t="s">
        <v>26</v>
      </c>
      <c r="B757" s="199" t="s">
        <v>8</v>
      </c>
      <c r="C757" s="199" t="s">
        <v>557</v>
      </c>
      <c r="D757" s="199" t="s">
        <v>559</v>
      </c>
      <c r="E757" s="199" t="s">
        <v>37</v>
      </c>
      <c r="F757" s="49">
        <v>0</v>
      </c>
      <c r="G757" s="49">
        <v>0</v>
      </c>
      <c r="H757" s="258" t="e">
        <f t="shared" si="108"/>
        <v>#DIV/0!</v>
      </c>
      <c r="I757" s="124"/>
      <c r="J757" s="124"/>
      <c r="K757" s="124"/>
      <c r="L757" s="125"/>
      <c r="M757" s="125"/>
    </row>
    <row r="758" spans="1:13" s="72" customFormat="1" ht="16.149999999999999" hidden="1" customHeight="1" x14ac:dyDescent="0.2">
      <c r="A758" s="103" t="s">
        <v>29</v>
      </c>
      <c r="B758" s="199" t="s">
        <v>8</v>
      </c>
      <c r="C758" s="199" t="s">
        <v>557</v>
      </c>
      <c r="D758" s="199" t="s">
        <v>559</v>
      </c>
      <c r="E758" s="199" t="s">
        <v>130</v>
      </c>
      <c r="F758" s="49">
        <f>F759</f>
        <v>0</v>
      </c>
      <c r="G758" s="49">
        <f>G759</f>
        <v>0</v>
      </c>
      <c r="H758" s="258" t="e">
        <f t="shared" si="108"/>
        <v>#DIV/0!</v>
      </c>
      <c r="I758" s="124"/>
      <c r="J758" s="124"/>
      <c r="K758" s="124"/>
      <c r="L758" s="125"/>
      <c r="M758" s="125"/>
    </row>
    <row r="759" spans="1:13" s="72" customFormat="1" ht="16.149999999999999" hidden="1" customHeight="1" x14ac:dyDescent="0.2">
      <c r="A759" s="103" t="s">
        <v>50</v>
      </c>
      <c r="B759" s="199" t="s">
        <v>8</v>
      </c>
      <c r="C759" s="199" t="s">
        <v>557</v>
      </c>
      <c r="D759" s="199" t="s">
        <v>559</v>
      </c>
      <c r="E759" s="199">
        <v>870</v>
      </c>
      <c r="F759" s="49">
        <f>94.5-94.5</f>
        <v>0</v>
      </c>
      <c r="G759" s="49">
        <f>94.5-94.5</f>
        <v>0</v>
      </c>
      <c r="H759" s="258" t="e">
        <f t="shared" si="108"/>
        <v>#DIV/0!</v>
      </c>
      <c r="I759" s="124"/>
      <c r="J759" s="124"/>
      <c r="K759" s="124"/>
      <c r="L759" s="125"/>
      <c r="M759" s="125"/>
    </row>
    <row r="760" spans="1:13" s="45" customFormat="1" ht="110.25" x14ac:dyDescent="0.2">
      <c r="A760" s="133" t="s">
        <v>560</v>
      </c>
      <c r="B760" s="31" t="s">
        <v>8</v>
      </c>
      <c r="C760" s="31" t="s">
        <v>557</v>
      </c>
      <c r="D760" s="31" t="s">
        <v>561</v>
      </c>
      <c r="E760" s="32"/>
      <c r="F760" s="29">
        <f>F761</f>
        <v>1819.6</v>
      </c>
      <c r="G760" s="29">
        <f>G761</f>
        <v>1401.1</v>
      </c>
      <c r="H760" s="258">
        <f t="shared" si="108"/>
        <v>0.77000439657067488</v>
      </c>
      <c r="I760" s="124"/>
      <c r="J760" s="124"/>
      <c r="K760" s="124"/>
      <c r="L760" s="125"/>
      <c r="M760" s="125"/>
    </row>
    <row r="761" spans="1:13" s="45" customFormat="1" x14ac:dyDescent="0.2">
      <c r="A761" s="133" t="s">
        <v>27</v>
      </c>
      <c r="B761" s="31" t="s">
        <v>8</v>
      </c>
      <c r="C761" s="31" t="s">
        <v>557</v>
      </c>
      <c r="D761" s="31" t="s">
        <v>561</v>
      </c>
      <c r="E761" s="32">
        <v>300</v>
      </c>
      <c r="F761" s="29">
        <f>F762</f>
        <v>1819.6</v>
      </c>
      <c r="G761" s="29">
        <f>G762</f>
        <v>1401.1</v>
      </c>
      <c r="H761" s="258">
        <f t="shared" si="108"/>
        <v>0.77000439657067488</v>
      </c>
      <c r="I761" s="124"/>
      <c r="J761" s="124"/>
      <c r="K761" s="124"/>
      <c r="L761" s="125"/>
      <c r="M761" s="125"/>
    </row>
    <row r="762" spans="1:13" s="45" customFormat="1" ht="31.5" x14ac:dyDescent="0.2">
      <c r="A762" s="133" t="s">
        <v>185</v>
      </c>
      <c r="B762" s="31" t="s">
        <v>8</v>
      </c>
      <c r="C762" s="31" t="s">
        <v>557</v>
      </c>
      <c r="D762" s="31" t="s">
        <v>561</v>
      </c>
      <c r="E762" s="32">
        <v>320</v>
      </c>
      <c r="F762" s="29">
        <v>1819.6</v>
      </c>
      <c r="G762" s="29">
        <v>1401.1</v>
      </c>
      <c r="H762" s="258">
        <f t="shared" si="108"/>
        <v>0.77000439657067488</v>
      </c>
      <c r="I762" s="124"/>
      <c r="J762" s="124"/>
      <c r="K762" s="124"/>
      <c r="L762" s="125"/>
      <c r="M762" s="125"/>
    </row>
    <row r="763" spans="1:13" s="45" customFormat="1" ht="63" x14ac:dyDescent="0.2">
      <c r="A763" s="133" t="s">
        <v>562</v>
      </c>
      <c r="B763" s="31" t="s">
        <v>8</v>
      </c>
      <c r="C763" s="31" t="s">
        <v>557</v>
      </c>
      <c r="D763" s="31" t="s">
        <v>563</v>
      </c>
      <c r="E763" s="32"/>
      <c r="F763" s="29">
        <f>F764</f>
        <v>20460.2</v>
      </c>
      <c r="G763" s="29">
        <f>G764</f>
        <v>12430.3</v>
      </c>
      <c r="H763" s="258">
        <f t="shared" si="108"/>
        <v>0.60753560571255405</v>
      </c>
      <c r="I763" s="124"/>
      <c r="J763" s="124"/>
      <c r="K763" s="124"/>
      <c r="L763" s="125"/>
      <c r="M763" s="125"/>
    </row>
    <row r="764" spans="1:13" s="45" customFormat="1" x14ac:dyDescent="0.2">
      <c r="A764" s="133" t="s">
        <v>27</v>
      </c>
      <c r="B764" s="31" t="s">
        <v>8</v>
      </c>
      <c r="C764" s="31" t="s">
        <v>557</v>
      </c>
      <c r="D764" s="31" t="s">
        <v>563</v>
      </c>
      <c r="E764" s="32">
        <v>300</v>
      </c>
      <c r="F764" s="29">
        <f>F765+F766</f>
        <v>20460.2</v>
      </c>
      <c r="G764" s="29">
        <f>G765+G766</f>
        <v>12430.3</v>
      </c>
      <c r="H764" s="258">
        <f t="shared" si="108"/>
        <v>0.60753560571255405</v>
      </c>
      <c r="I764" s="124"/>
      <c r="J764" s="124"/>
      <c r="K764" s="124"/>
      <c r="L764" s="125"/>
      <c r="M764" s="125"/>
    </row>
    <row r="765" spans="1:13" s="45" customFormat="1" ht="20.25" hidden="1" customHeight="1" x14ac:dyDescent="0.2">
      <c r="A765" s="133" t="s">
        <v>564</v>
      </c>
      <c r="B765" s="31" t="s">
        <v>8</v>
      </c>
      <c r="C765" s="31" t="s">
        <v>557</v>
      </c>
      <c r="D765" s="31" t="s">
        <v>563</v>
      </c>
      <c r="E765" s="32">
        <v>310</v>
      </c>
      <c r="F765" s="97"/>
      <c r="G765" s="97"/>
      <c r="H765" s="258" t="e">
        <f t="shared" si="108"/>
        <v>#DIV/0!</v>
      </c>
      <c r="I765" s="124"/>
      <c r="J765" s="124"/>
      <c r="K765" s="124"/>
      <c r="L765" s="125"/>
      <c r="M765" s="125"/>
    </row>
    <row r="766" spans="1:13" s="45" customFormat="1" ht="31.5" x14ac:dyDescent="0.2">
      <c r="A766" s="133" t="s">
        <v>185</v>
      </c>
      <c r="B766" s="31" t="s">
        <v>8</v>
      </c>
      <c r="C766" s="31" t="s">
        <v>557</v>
      </c>
      <c r="D766" s="31" t="s">
        <v>563</v>
      </c>
      <c r="E766" s="32">
        <v>320</v>
      </c>
      <c r="F766" s="97">
        <v>20460.2</v>
      </c>
      <c r="G766" s="97">
        <f>5699.4+6730.9</f>
        <v>12430.3</v>
      </c>
      <c r="H766" s="258">
        <f t="shared" si="108"/>
        <v>0.60753560571255405</v>
      </c>
      <c r="I766" s="124"/>
      <c r="J766" s="124"/>
      <c r="K766" s="124"/>
      <c r="L766" s="125"/>
      <c r="M766" s="125"/>
    </row>
    <row r="767" spans="1:13" s="44" customFormat="1" ht="205.9" customHeight="1" x14ac:dyDescent="0.2">
      <c r="A767" s="133" t="s">
        <v>565</v>
      </c>
      <c r="B767" s="31" t="s">
        <v>8</v>
      </c>
      <c r="C767" s="31" t="s">
        <v>557</v>
      </c>
      <c r="D767" s="31" t="s">
        <v>566</v>
      </c>
      <c r="E767" s="32"/>
      <c r="F767" s="114">
        <f t="shared" ref="F767:G770" si="110">F768</f>
        <v>380.9</v>
      </c>
      <c r="G767" s="114">
        <f t="shared" si="110"/>
        <v>210.6</v>
      </c>
      <c r="H767" s="258">
        <f t="shared" si="108"/>
        <v>0.55290102389078499</v>
      </c>
      <c r="I767" s="124"/>
      <c r="J767" s="124"/>
      <c r="K767" s="124"/>
      <c r="L767" s="125"/>
      <c r="M767" s="125"/>
    </row>
    <row r="768" spans="1:13" s="45" customFormat="1" ht="48.6" customHeight="1" x14ac:dyDescent="0.2">
      <c r="A768" s="133" t="s">
        <v>567</v>
      </c>
      <c r="B768" s="193" t="s">
        <v>8</v>
      </c>
      <c r="C768" s="193" t="s">
        <v>557</v>
      </c>
      <c r="D768" s="193" t="s">
        <v>568</v>
      </c>
      <c r="E768" s="32"/>
      <c r="F768" s="104">
        <f t="shared" si="110"/>
        <v>380.9</v>
      </c>
      <c r="G768" s="104">
        <f t="shared" si="110"/>
        <v>210.6</v>
      </c>
      <c r="H768" s="258">
        <f t="shared" si="108"/>
        <v>0.55290102389078499</v>
      </c>
      <c r="I768" s="124"/>
      <c r="J768" s="124"/>
      <c r="K768" s="124"/>
      <c r="L768" s="125"/>
      <c r="M768" s="125"/>
    </row>
    <row r="769" spans="1:13" s="45" customFormat="1" ht="48.6" customHeight="1" x14ac:dyDescent="0.2">
      <c r="A769" s="133" t="s">
        <v>569</v>
      </c>
      <c r="B769" s="193" t="s">
        <v>8</v>
      </c>
      <c r="C769" s="193" t="s">
        <v>557</v>
      </c>
      <c r="D769" s="193" t="s">
        <v>570</v>
      </c>
      <c r="E769" s="32"/>
      <c r="F769" s="104">
        <f t="shared" si="110"/>
        <v>380.9</v>
      </c>
      <c r="G769" s="104">
        <f t="shared" si="110"/>
        <v>210.6</v>
      </c>
      <c r="H769" s="258">
        <f t="shared" si="108"/>
        <v>0.55290102389078499</v>
      </c>
      <c r="I769" s="124"/>
      <c r="J769" s="124"/>
      <c r="K769" s="124"/>
      <c r="L769" s="125"/>
      <c r="M769" s="125"/>
    </row>
    <row r="770" spans="1:13" s="45" customFormat="1" ht="18.75" customHeight="1" x14ac:dyDescent="0.2">
      <c r="A770" s="133" t="s">
        <v>27</v>
      </c>
      <c r="B770" s="193" t="s">
        <v>8</v>
      </c>
      <c r="C770" s="193" t="s">
        <v>557</v>
      </c>
      <c r="D770" s="193" t="s">
        <v>570</v>
      </c>
      <c r="E770" s="32">
        <v>300</v>
      </c>
      <c r="F770" s="104">
        <f t="shared" si="110"/>
        <v>380.9</v>
      </c>
      <c r="G770" s="104">
        <f t="shared" si="110"/>
        <v>210.6</v>
      </c>
      <c r="H770" s="258">
        <f t="shared" si="108"/>
        <v>0.55290102389078499</v>
      </c>
      <c r="I770" s="124"/>
      <c r="J770" s="124"/>
      <c r="K770" s="124"/>
      <c r="L770" s="125"/>
      <c r="M770" s="125"/>
    </row>
    <row r="771" spans="1:13" s="45" customFormat="1" ht="17.25" customHeight="1" x14ac:dyDescent="0.2">
      <c r="A771" s="133" t="s">
        <v>564</v>
      </c>
      <c r="B771" s="193" t="s">
        <v>8</v>
      </c>
      <c r="C771" s="193" t="s">
        <v>557</v>
      </c>
      <c r="D771" s="193" t="s">
        <v>570</v>
      </c>
      <c r="E771" s="32">
        <v>310</v>
      </c>
      <c r="F771" s="104">
        <v>380.9</v>
      </c>
      <c r="G771" s="104">
        <v>210.6</v>
      </c>
      <c r="H771" s="258">
        <f t="shared" si="108"/>
        <v>0.55290102389078499</v>
      </c>
      <c r="I771" s="124"/>
      <c r="J771" s="124"/>
      <c r="K771" s="124"/>
      <c r="L771" s="125"/>
      <c r="M771" s="125"/>
    </row>
    <row r="772" spans="1:13" s="72" customFormat="1" x14ac:dyDescent="0.2">
      <c r="A772" s="127" t="s">
        <v>571</v>
      </c>
      <c r="B772" s="53" t="s">
        <v>8</v>
      </c>
      <c r="C772" s="53" t="s">
        <v>572</v>
      </c>
      <c r="D772" s="53"/>
      <c r="E772" s="53"/>
      <c r="F772" s="48">
        <f>F773+F836</f>
        <v>125481.60000000001</v>
      </c>
      <c r="G772" s="48">
        <f>G773+G836</f>
        <v>74273.999999999985</v>
      </c>
      <c r="H772" s="258">
        <f t="shared" si="108"/>
        <v>0.59191148343661526</v>
      </c>
      <c r="I772" s="124"/>
      <c r="J772" s="124"/>
      <c r="K772" s="124"/>
      <c r="L772" s="125"/>
      <c r="M772" s="125"/>
    </row>
    <row r="773" spans="1:13" s="72" customFormat="1" x14ac:dyDescent="0.2">
      <c r="A773" s="120" t="s">
        <v>573</v>
      </c>
      <c r="B773" s="121" t="s">
        <v>8</v>
      </c>
      <c r="C773" s="121" t="s">
        <v>574</v>
      </c>
      <c r="D773" s="121"/>
      <c r="E773" s="121"/>
      <c r="F773" s="50">
        <f>F774+F780+F786+F793+F800+F809</f>
        <v>125481.60000000001</v>
      </c>
      <c r="G773" s="50">
        <f>G774+G780+G786+G793+G800+G809-0.1</f>
        <v>74273.999999999985</v>
      </c>
      <c r="H773" s="258">
        <f t="shared" si="108"/>
        <v>0.59191148343661526</v>
      </c>
      <c r="I773" s="124"/>
      <c r="J773" s="124"/>
      <c r="K773" s="124"/>
      <c r="L773" s="125"/>
      <c r="M773" s="125"/>
    </row>
    <row r="774" spans="1:13" s="45" customFormat="1" x14ac:dyDescent="0.2">
      <c r="A774" s="23" t="s">
        <v>67</v>
      </c>
      <c r="B774" s="15" t="s">
        <v>8</v>
      </c>
      <c r="C774" s="15" t="s">
        <v>574</v>
      </c>
      <c r="D774" s="15" t="s">
        <v>68</v>
      </c>
      <c r="E774" s="24" t="s">
        <v>4</v>
      </c>
      <c r="F774" s="25">
        <f t="shared" ref="F774:G777" si="111">F775</f>
        <v>125.8</v>
      </c>
      <c r="G774" s="25">
        <f t="shared" si="111"/>
        <v>65.8</v>
      </c>
      <c r="H774" s="258">
        <f t="shared" si="108"/>
        <v>0.52305246422893481</v>
      </c>
      <c r="I774" s="124"/>
      <c r="J774" s="124"/>
      <c r="K774" s="124"/>
      <c r="L774" s="125"/>
      <c r="M774" s="125"/>
    </row>
    <row r="775" spans="1:13" s="45" customFormat="1" x14ac:dyDescent="0.2">
      <c r="A775" s="30" t="s">
        <v>33</v>
      </c>
      <c r="B775" s="31" t="s">
        <v>8</v>
      </c>
      <c r="C775" s="31" t="s">
        <v>574</v>
      </c>
      <c r="D775" s="31" t="s">
        <v>69</v>
      </c>
      <c r="E775" s="24"/>
      <c r="F775" s="29">
        <f t="shared" si="111"/>
        <v>125.8</v>
      </c>
      <c r="G775" s="29">
        <f t="shared" si="111"/>
        <v>65.8</v>
      </c>
      <c r="H775" s="258">
        <f t="shared" si="108"/>
        <v>0.52305246422893481</v>
      </c>
      <c r="I775" s="124"/>
      <c r="J775" s="124"/>
      <c r="K775" s="124"/>
      <c r="L775" s="125"/>
      <c r="M775" s="125"/>
    </row>
    <row r="776" spans="1:13" s="45" customFormat="1" ht="31.5" x14ac:dyDescent="0.2">
      <c r="A776" s="81" t="s">
        <v>154</v>
      </c>
      <c r="B776" s="31" t="s">
        <v>8</v>
      </c>
      <c r="C776" s="31" t="s">
        <v>574</v>
      </c>
      <c r="D776" s="31" t="s">
        <v>71</v>
      </c>
      <c r="E776" s="31" t="s">
        <v>4</v>
      </c>
      <c r="F776" s="83">
        <f t="shared" si="111"/>
        <v>125.8</v>
      </c>
      <c r="G776" s="83">
        <f t="shared" si="111"/>
        <v>65.8</v>
      </c>
      <c r="H776" s="258">
        <f t="shared" si="108"/>
        <v>0.52305246422893481</v>
      </c>
      <c r="I776" s="124"/>
      <c r="J776" s="124"/>
      <c r="K776" s="124"/>
      <c r="L776" s="125"/>
      <c r="M776" s="125"/>
    </row>
    <row r="777" spans="1:13" s="45" customFormat="1" ht="31.5" customHeight="1" x14ac:dyDescent="0.2">
      <c r="A777" s="81" t="s">
        <v>374</v>
      </c>
      <c r="B777" s="31" t="s">
        <v>8</v>
      </c>
      <c r="C777" s="31" t="s">
        <v>574</v>
      </c>
      <c r="D777" s="31" t="s">
        <v>71</v>
      </c>
      <c r="E777" s="31" t="s">
        <v>375</v>
      </c>
      <c r="F777" s="83">
        <f t="shared" si="111"/>
        <v>125.8</v>
      </c>
      <c r="G777" s="83">
        <f t="shared" si="111"/>
        <v>65.8</v>
      </c>
      <c r="H777" s="258">
        <f t="shared" si="108"/>
        <v>0.52305246422893481</v>
      </c>
      <c r="I777" s="124"/>
      <c r="J777" s="124"/>
      <c r="K777" s="124"/>
      <c r="L777" s="125"/>
      <c r="M777" s="125"/>
    </row>
    <row r="778" spans="1:13" s="45" customFormat="1" x14ac:dyDescent="0.2">
      <c r="A778" s="175" t="s">
        <v>376</v>
      </c>
      <c r="B778" s="31" t="s">
        <v>8</v>
      </c>
      <c r="C778" s="31" t="s">
        <v>574</v>
      </c>
      <c r="D778" s="31" t="s">
        <v>71</v>
      </c>
      <c r="E778" s="31" t="s">
        <v>377</v>
      </c>
      <c r="F778" s="83">
        <v>125.8</v>
      </c>
      <c r="G778" s="83">
        <v>65.8</v>
      </c>
      <c r="H778" s="258">
        <f t="shared" ref="H778:H835" si="112">G778/F778</f>
        <v>0.52305246422893481</v>
      </c>
      <c r="I778" s="124"/>
      <c r="J778" s="124"/>
      <c r="K778" s="124"/>
      <c r="L778" s="125"/>
      <c r="M778" s="125"/>
    </row>
    <row r="779" spans="1:13" s="45" customFormat="1" ht="47.25" x14ac:dyDescent="0.2">
      <c r="A779" s="178" t="s">
        <v>575</v>
      </c>
      <c r="B779" s="40" t="s">
        <v>8</v>
      </c>
      <c r="C779" s="40" t="s">
        <v>574</v>
      </c>
      <c r="D779" s="40" t="s">
        <v>71</v>
      </c>
      <c r="E779" s="40" t="s">
        <v>377</v>
      </c>
      <c r="F779" s="87">
        <v>125.8</v>
      </c>
      <c r="G779" s="87">
        <v>65.8</v>
      </c>
      <c r="H779" s="258">
        <f t="shared" si="112"/>
        <v>0.52305246422893481</v>
      </c>
      <c r="I779" s="153"/>
      <c r="J779" s="153"/>
      <c r="K779" s="153"/>
      <c r="L779" s="113"/>
      <c r="M779" s="113"/>
    </row>
    <row r="780" spans="1:13" s="56" customFormat="1" ht="47.25" x14ac:dyDescent="0.2">
      <c r="A780" s="127" t="s">
        <v>576</v>
      </c>
      <c r="B780" s="53" t="s">
        <v>8</v>
      </c>
      <c r="C780" s="53" t="s">
        <v>574</v>
      </c>
      <c r="D780" s="200" t="s">
        <v>577</v>
      </c>
      <c r="E780" s="53"/>
      <c r="F780" s="48">
        <f t="shared" ref="F780:G784" si="113">F781</f>
        <v>2243</v>
      </c>
      <c r="G780" s="48">
        <f t="shared" si="113"/>
        <v>1721.6</v>
      </c>
      <c r="H780" s="258">
        <f t="shared" si="112"/>
        <v>0.76754346856888089</v>
      </c>
      <c r="I780" s="124"/>
      <c r="J780" s="124"/>
      <c r="K780" s="124"/>
      <c r="L780" s="125"/>
      <c r="M780" s="125"/>
    </row>
    <row r="781" spans="1:13" s="56" customFormat="1" ht="19.899999999999999" customHeight="1" x14ac:dyDescent="0.2">
      <c r="A781" s="139" t="s">
        <v>578</v>
      </c>
      <c r="B781" s="58" t="s">
        <v>8</v>
      </c>
      <c r="C781" s="58" t="s">
        <v>574</v>
      </c>
      <c r="D781" s="31" t="s">
        <v>579</v>
      </c>
      <c r="E781" s="58"/>
      <c r="F781" s="49">
        <f t="shared" si="113"/>
        <v>2243</v>
      </c>
      <c r="G781" s="49">
        <f t="shared" si="113"/>
        <v>1721.6</v>
      </c>
      <c r="H781" s="258">
        <f t="shared" si="112"/>
        <v>0.76754346856888089</v>
      </c>
      <c r="I781" s="124"/>
      <c r="J781" s="124"/>
      <c r="K781" s="124"/>
      <c r="L781" s="125"/>
      <c r="M781" s="125"/>
    </row>
    <row r="782" spans="1:13" s="56" customFormat="1" ht="20.45" customHeight="1" x14ac:dyDescent="0.2">
      <c r="A782" s="139" t="s">
        <v>580</v>
      </c>
      <c r="B782" s="58" t="s">
        <v>8</v>
      </c>
      <c r="C782" s="58" t="s">
        <v>574</v>
      </c>
      <c r="D782" s="31" t="s">
        <v>581</v>
      </c>
      <c r="E782" s="58"/>
      <c r="F782" s="49">
        <f t="shared" si="113"/>
        <v>2243</v>
      </c>
      <c r="G782" s="49">
        <f t="shared" si="113"/>
        <v>1721.6</v>
      </c>
      <c r="H782" s="258">
        <f t="shared" si="112"/>
        <v>0.76754346856888089</v>
      </c>
      <c r="I782" s="124"/>
      <c r="J782" s="124"/>
      <c r="K782" s="124"/>
      <c r="L782" s="125"/>
      <c r="M782" s="125"/>
    </row>
    <row r="783" spans="1:13" s="56" customFormat="1" ht="31.5" customHeight="1" x14ac:dyDescent="0.2">
      <c r="A783" s="139" t="s">
        <v>582</v>
      </c>
      <c r="B783" s="58" t="s">
        <v>8</v>
      </c>
      <c r="C783" s="58" t="s">
        <v>574</v>
      </c>
      <c r="D783" s="31" t="s">
        <v>583</v>
      </c>
      <c r="E783" s="58"/>
      <c r="F783" s="49">
        <f t="shared" si="113"/>
        <v>2243</v>
      </c>
      <c r="G783" s="49">
        <f t="shared" si="113"/>
        <v>1721.6</v>
      </c>
      <c r="H783" s="258">
        <f t="shared" si="112"/>
        <v>0.76754346856888089</v>
      </c>
      <c r="I783" s="124"/>
      <c r="J783" s="124"/>
      <c r="K783" s="124"/>
      <c r="L783" s="125"/>
      <c r="M783" s="125"/>
    </row>
    <row r="784" spans="1:13" s="60" customFormat="1" ht="31.5" x14ac:dyDescent="0.2">
      <c r="A784" s="139" t="s">
        <v>150</v>
      </c>
      <c r="B784" s="58" t="s">
        <v>8</v>
      </c>
      <c r="C784" s="58" t="s">
        <v>574</v>
      </c>
      <c r="D784" s="59" t="s">
        <v>583</v>
      </c>
      <c r="E784" s="58" t="s">
        <v>151</v>
      </c>
      <c r="F784" s="49">
        <f t="shared" si="113"/>
        <v>2243</v>
      </c>
      <c r="G784" s="49">
        <f t="shared" si="113"/>
        <v>1721.6</v>
      </c>
      <c r="H784" s="258">
        <f t="shared" si="112"/>
        <v>0.76754346856888089</v>
      </c>
      <c r="I784" s="124"/>
      <c r="J784" s="124"/>
      <c r="K784" s="124"/>
      <c r="L784" s="125"/>
      <c r="M784" s="125"/>
    </row>
    <row r="785" spans="1:13" s="56" customFormat="1" x14ac:dyDescent="0.2">
      <c r="A785" s="139" t="s">
        <v>192</v>
      </c>
      <c r="B785" s="58" t="s">
        <v>8</v>
      </c>
      <c r="C785" s="58" t="s">
        <v>574</v>
      </c>
      <c r="D785" s="59" t="s">
        <v>583</v>
      </c>
      <c r="E785" s="58" t="s">
        <v>193</v>
      </c>
      <c r="F785" s="49">
        <f>1773.1+469.9</f>
        <v>2243</v>
      </c>
      <c r="G785" s="49">
        <v>1721.6</v>
      </c>
      <c r="H785" s="258">
        <f t="shared" si="112"/>
        <v>0.76754346856888089</v>
      </c>
      <c r="I785" s="124"/>
      <c r="J785" s="124"/>
      <c r="K785" s="124"/>
      <c r="L785" s="125"/>
      <c r="M785" s="125"/>
    </row>
    <row r="786" spans="1:13" s="5" customFormat="1" ht="31.5" x14ac:dyDescent="0.2">
      <c r="A786" s="127" t="s">
        <v>584</v>
      </c>
      <c r="B786" s="201" t="s">
        <v>8</v>
      </c>
      <c r="C786" s="201" t="s">
        <v>574</v>
      </c>
      <c r="D786" s="194" t="s">
        <v>539</v>
      </c>
      <c r="E786" s="201"/>
      <c r="F786" s="48">
        <f t="shared" ref="F786:G790" si="114">F787</f>
        <v>112420.4</v>
      </c>
      <c r="G786" s="48">
        <f t="shared" si="114"/>
        <v>65365.2</v>
      </c>
      <c r="H786" s="258">
        <f t="shared" si="112"/>
        <v>0.58143539784594256</v>
      </c>
      <c r="I786" s="124"/>
      <c r="J786" s="124"/>
      <c r="K786" s="124"/>
      <c r="L786" s="125"/>
      <c r="M786" s="125"/>
    </row>
    <row r="787" spans="1:13" s="5" customFormat="1" ht="36.6" customHeight="1" x14ac:dyDescent="0.2">
      <c r="A787" s="89" t="s">
        <v>585</v>
      </c>
      <c r="B787" s="31" t="s">
        <v>8</v>
      </c>
      <c r="C787" s="31" t="s">
        <v>574</v>
      </c>
      <c r="D787" s="32" t="s">
        <v>541</v>
      </c>
      <c r="E787" s="31"/>
      <c r="F787" s="49">
        <f t="shared" si="114"/>
        <v>112420.4</v>
      </c>
      <c r="G787" s="49">
        <f t="shared" si="114"/>
        <v>65365.2</v>
      </c>
      <c r="H787" s="258">
        <f t="shared" si="112"/>
        <v>0.58143539784594256</v>
      </c>
      <c r="I787" s="124"/>
      <c r="J787" s="124"/>
      <c r="K787" s="124"/>
      <c r="L787" s="125"/>
      <c r="M787" s="125"/>
    </row>
    <row r="788" spans="1:13" s="5" customFormat="1" ht="34.9" customHeight="1" x14ac:dyDescent="0.2">
      <c r="A788" s="89" t="s">
        <v>586</v>
      </c>
      <c r="B788" s="31" t="s">
        <v>8</v>
      </c>
      <c r="C788" s="31" t="s">
        <v>574</v>
      </c>
      <c r="D788" s="32" t="s">
        <v>587</v>
      </c>
      <c r="E788" s="31"/>
      <c r="F788" s="49">
        <f t="shared" si="114"/>
        <v>112420.4</v>
      </c>
      <c r="G788" s="49">
        <f t="shared" si="114"/>
        <v>65365.2</v>
      </c>
      <c r="H788" s="258">
        <f t="shared" si="112"/>
        <v>0.58143539784594256</v>
      </c>
      <c r="I788" s="124"/>
      <c r="J788" s="124"/>
      <c r="K788" s="124"/>
      <c r="L788" s="125"/>
      <c r="M788" s="125"/>
    </row>
    <row r="789" spans="1:13" s="5" customFormat="1" ht="19.149999999999999" customHeight="1" x14ac:dyDescent="0.2">
      <c r="A789" s="89" t="s">
        <v>544</v>
      </c>
      <c r="B789" s="31" t="s">
        <v>8</v>
      </c>
      <c r="C789" s="31" t="s">
        <v>574</v>
      </c>
      <c r="D789" s="141" t="s">
        <v>588</v>
      </c>
      <c r="E789" s="31"/>
      <c r="F789" s="49">
        <f t="shared" si="114"/>
        <v>112420.4</v>
      </c>
      <c r="G789" s="49">
        <f t="shared" si="114"/>
        <v>65365.2</v>
      </c>
      <c r="H789" s="258">
        <f t="shared" si="112"/>
        <v>0.58143539784594256</v>
      </c>
      <c r="I789" s="124"/>
      <c r="J789" s="124"/>
      <c r="K789" s="124"/>
      <c r="L789" s="125"/>
      <c r="M789" s="125"/>
    </row>
    <row r="790" spans="1:13" s="28" customFormat="1" ht="31.5" x14ac:dyDescent="0.2">
      <c r="A790" s="81" t="s">
        <v>374</v>
      </c>
      <c r="B790" s="31" t="s">
        <v>8</v>
      </c>
      <c r="C790" s="31" t="s">
        <v>574</v>
      </c>
      <c r="D790" s="141" t="s">
        <v>588</v>
      </c>
      <c r="E790" s="31" t="s">
        <v>375</v>
      </c>
      <c r="F790" s="49">
        <f t="shared" si="114"/>
        <v>112420.4</v>
      </c>
      <c r="G790" s="49">
        <f t="shared" si="114"/>
        <v>65365.2</v>
      </c>
      <c r="H790" s="258">
        <f t="shared" si="112"/>
        <v>0.58143539784594256</v>
      </c>
      <c r="I790" s="124"/>
      <c r="J790" s="124"/>
      <c r="K790" s="124"/>
      <c r="L790" s="125"/>
      <c r="M790" s="125"/>
    </row>
    <row r="791" spans="1:13" s="28" customFormat="1" x14ac:dyDescent="0.2">
      <c r="A791" s="175" t="s">
        <v>376</v>
      </c>
      <c r="B791" s="31" t="s">
        <v>8</v>
      </c>
      <c r="C791" s="31" t="s">
        <v>574</v>
      </c>
      <c r="D791" s="141" t="s">
        <v>588</v>
      </c>
      <c r="E791" s="31" t="s">
        <v>377</v>
      </c>
      <c r="F791" s="49">
        <v>112420.4</v>
      </c>
      <c r="G791" s="49">
        <v>65365.2</v>
      </c>
      <c r="H791" s="258">
        <f t="shared" si="112"/>
        <v>0.58143539784594256</v>
      </c>
      <c r="I791" s="124"/>
      <c r="J791" s="124"/>
      <c r="K791" s="124"/>
      <c r="L791" s="125"/>
      <c r="M791" s="125"/>
    </row>
    <row r="792" spans="1:13" s="28" customFormat="1" ht="47.25" x14ac:dyDescent="0.2">
      <c r="A792" s="202" t="s">
        <v>589</v>
      </c>
      <c r="B792" s="162" t="s">
        <v>8</v>
      </c>
      <c r="C792" s="162" t="s">
        <v>574</v>
      </c>
      <c r="D792" s="195" t="s">
        <v>588</v>
      </c>
      <c r="E792" s="162" t="s">
        <v>377</v>
      </c>
      <c r="F792" s="129">
        <v>112420.4</v>
      </c>
      <c r="G792" s="129">
        <v>65365.2</v>
      </c>
      <c r="H792" s="258">
        <f t="shared" si="112"/>
        <v>0.58143539784594256</v>
      </c>
      <c r="I792" s="124"/>
      <c r="J792" s="124"/>
      <c r="K792" s="124"/>
      <c r="L792" s="125"/>
      <c r="M792" s="125"/>
    </row>
    <row r="793" spans="1:13" s="102" customFormat="1" x14ac:dyDescent="0.2">
      <c r="A793" s="23" t="s">
        <v>197</v>
      </c>
      <c r="B793" s="201" t="s">
        <v>8</v>
      </c>
      <c r="C793" s="201" t="s">
        <v>574</v>
      </c>
      <c r="D793" s="194" t="s">
        <v>588</v>
      </c>
      <c r="E793" s="180"/>
      <c r="F793" s="48">
        <f t="shared" ref="F793:G793" si="115">F794</f>
        <v>5917</v>
      </c>
      <c r="G793" s="48">
        <f t="shared" si="115"/>
        <v>3440.3</v>
      </c>
      <c r="H793" s="258">
        <f t="shared" si="112"/>
        <v>0.5814263985127599</v>
      </c>
      <c r="I793" s="124"/>
      <c r="J793" s="124"/>
      <c r="K793" s="124"/>
      <c r="L793" s="125"/>
      <c r="M793" s="125"/>
    </row>
    <row r="794" spans="1:13" s="102" customFormat="1" ht="31.5" x14ac:dyDescent="0.2">
      <c r="A794" s="183" t="s">
        <v>551</v>
      </c>
      <c r="B794" s="31" t="s">
        <v>8</v>
      </c>
      <c r="C794" s="31" t="s">
        <v>574</v>
      </c>
      <c r="D794" s="141" t="s">
        <v>588</v>
      </c>
      <c r="E794" s="185"/>
      <c r="F794" s="86">
        <f t="shared" ref="F794:G797" si="116">F795</f>
        <v>5917</v>
      </c>
      <c r="G794" s="86">
        <f t="shared" si="116"/>
        <v>3440.3</v>
      </c>
      <c r="H794" s="258">
        <f t="shared" si="112"/>
        <v>0.5814263985127599</v>
      </c>
      <c r="I794" s="124"/>
      <c r="J794" s="124"/>
      <c r="K794" s="124"/>
      <c r="L794" s="125"/>
      <c r="M794" s="125"/>
    </row>
    <row r="795" spans="1:13" s="5" customFormat="1" ht="49.9" customHeight="1" x14ac:dyDescent="0.2">
      <c r="A795" s="30" t="s">
        <v>548</v>
      </c>
      <c r="B795" s="31" t="s">
        <v>8</v>
      </c>
      <c r="C795" s="31" t="s">
        <v>574</v>
      </c>
      <c r="D795" s="141" t="s">
        <v>588</v>
      </c>
      <c r="E795" s="31"/>
      <c r="F795" s="49">
        <f t="shared" si="116"/>
        <v>5917</v>
      </c>
      <c r="G795" s="49">
        <f t="shared" si="116"/>
        <v>3440.3</v>
      </c>
      <c r="H795" s="258">
        <f t="shared" si="112"/>
        <v>0.5814263985127599</v>
      </c>
      <c r="I795" s="124"/>
      <c r="J795" s="124"/>
      <c r="K795" s="124"/>
      <c r="L795" s="125"/>
      <c r="M795" s="125"/>
    </row>
    <row r="796" spans="1:13" s="5" customFormat="1" ht="63" x14ac:dyDescent="0.2">
      <c r="A796" s="30" t="s">
        <v>590</v>
      </c>
      <c r="B796" s="31" t="s">
        <v>8</v>
      </c>
      <c r="C796" s="31" t="s">
        <v>574</v>
      </c>
      <c r="D796" s="141" t="s">
        <v>588</v>
      </c>
      <c r="E796" s="31"/>
      <c r="F796" s="49">
        <f t="shared" si="116"/>
        <v>5917</v>
      </c>
      <c r="G796" s="49">
        <f t="shared" si="116"/>
        <v>3440.3</v>
      </c>
      <c r="H796" s="258">
        <f t="shared" si="112"/>
        <v>0.5814263985127599</v>
      </c>
      <c r="I796" s="124"/>
      <c r="J796" s="124"/>
      <c r="K796" s="124"/>
      <c r="L796" s="125"/>
      <c r="M796" s="125"/>
    </row>
    <row r="797" spans="1:13" s="28" customFormat="1" ht="31.5" x14ac:dyDescent="0.2">
      <c r="A797" s="81" t="s">
        <v>374</v>
      </c>
      <c r="B797" s="31" t="s">
        <v>8</v>
      </c>
      <c r="C797" s="31" t="s">
        <v>574</v>
      </c>
      <c r="D797" s="141" t="s">
        <v>588</v>
      </c>
      <c r="E797" s="31" t="s">
        <v>375</v>
      </c>
      <c r="F797" s="51">
        <f t="shared" si="116"/>
        <v>5917</v>
      </c>
      <c r="G797" s="51">
        <f t="shared" si="116"/>
        <v>3440.3</v>
      </c>
      <c r="H797" s="258">
        <f t="shared" si="112"/>
        <v>0.5814263985127599</v>
      </c>
      <c r="I797" s="124"/>
      <c r="J797" s="124"/>
      <c r="K797" s="124"/>
      <c r="L797" s="125"/>
      <c r="M797" s="125"/>
    </row>
    <row r="798" spans="1:13" s="28" customFormat="1" x14ac:dyDescent="0.2">
      <c r="A798" s="175" t="s">
        <v>376</v>
      </c>
      <c r="B798" s="31" t="s">
        <v>8</v>
      </c>
      <c r="C798" s="31" t="s">
        <v>574</v>
      </c>
      <c r="D798" s="141" t="s">
        <v>588</v>
      </c>
      <c r="E798" s="31" t="s">
        <v>377</v>
      </c>
      <c r="F798" s="49">
        <v>5917</v>
      </c>
      <c r="G798" s="49">
        <v>3440.3</v>
      </c>
      <c r="H798" s="258">
        <f t="shared" si="112"/>
        <v>0.5814263985127599</v>
      </c>
      <c r="I798" s="124"/>
      <c r="J798" s="124"/>
      <c r="K798" s="124"/>
      <c r="L798" s="125"/>
      <c r="M798" s="125"/>
    </row>
    <row r="799" spans="1:13" s="28" customFormat="1" ht="47.25" x14ac:dyDescent="0.2">
      <c r="A799" s="202" t="s">
        <v>589</v>
      </c>
      <c r="B799" s="162" t="s">
        <v>8</v>
      </c>
      <c r="C799" s="162" t="s">
        <v>574</v>
      </c>
      <c r="D799" s="195" t="s">
        <v>588</v>
      </c>
      <c r="E799" s="162" t="s">
        <v>377</v>
      </c>
      <c r="F799" s="129">
        <v>5917</v>
      </c>
      <c r="G799" s="129">
        <v>3440.3</v>
      </c>
      <c r="H799" s="258">
        <f t="shared" si="112"/>
        <v>0.5814263985127599</v>
      </c>
      <c r="I799" s="124"/>
      <c r="J799" s="124"/>
      <c r="K799" s="124"/>
      <c r="L799" s="125"/>
      <c r="M799" s="125"/>
    </row>
    <row r="800" spans="1:13" s="56" customFormat="1" ht="31.5" x14ac:dyDescent="0.2">
      <c r="A800" s="127" t="s">
        <v>591</v>
      </c>
      <c r="B800" s="53" t="s">
        <v>8</v>
      </c>
      <c r="C800" s="53" t="s">
        <v>574</v>
      </c>
      <c r="D800" s="53" t="s">
        <v>592</v>
      </c>
      <c r="E800" s="53"/>
      <c r="F800" s="48">
        <f>F801+F804</f>
        <v>4547.3</v>
      </c>
      <c r="G800" s="48">
        <f>G801+G804</f>
        <v>3476.4</v>
      </c>
      <c r="H800" s="258">
        <f t="shared" si="112"/>
        <v>0.76449761396872873</v>
      </c>
      <c r="I800" s="124"/>
      <c r="J800" s="124"/>
      <c r="K800" s="124"/>
      <c r="L800" s="125"/>
      <c r="M800" s="125"/>
    </row>
    <row r="801" spans="1:13" s="56" customFormat="1" ht="31.5" x14ac:dyDescent="0.2">
      <c r="A801" s="30" t="s">
        <v>591</v>
      </c>
      <c r="B801" s="31" t="s">
        <v>8</v>
      </c>
      <c r="C801" s="58" t="s">
        <v>574</v>
      </c>
      <c r="D801" s="32" t="s">
        <v>593</v>
      </c>
      <c r="E801" s="31"/>
      <c r="F801" s="49">
        <f>F802</f>
        <v>4349.3</v>
      </c>
      <c r="G801" s="49">
        <f>G802</f>
        <v>3278.4</v>
      </c>
      <c r="H801" s="258">
        <f t="shared" si="112"/>
        <v>0.75377646977674573</v>
      </c>
      <c r="I801" s="124"/>
      <c r="J801" s="124"/>
      <c r="K801" s="124"/>
      <c r="L801" s="125"/>
      <c r="M801" s="125"/>
    </row>
    <row r="802" spans="1:13" s="56" customFormat="1" ht="31.5" x14ac:dyDescent="0.2">
      <c r="A802" s="89" t="s">
        <v>150</v>
      </c>
      <c r="B802" s="31" t="s">
        <v>8</v>
      </c>
      <c r="C802" s="58" t="s">
        <v>574</v>
      </c>
      <c r="D802" s="32" t="s">
        <v>593</v>
      </c>
      <c r="E802" s="31" t="s">
        <v>151</v>
      </c>
      <c r="F802" s="49">
        <f>F803</f>
        <v>4349.3</v>
      </c>
      <c r="G802" s="49">
        <f>G803</f>
        <v>3278.4</v>
      </c>
      <c r="H802" s="258">
        <f t="shared" si="112"/>
        <v>0.75377646977674573</v>
      </c>
      <c r="I802" s="124"/>
      <c r="J802" s="124"/>
      <c r="K802" s="124"/>
      <c r="L802" s="125"/>
      <c r="M802" s="125"/>
    </row>
    <row r="803" spans="1:13" s="56" customFormat="1" x14ac:dyDescent="0.2">
      <c r="A803" s="89" t="s">
        <v>192</v>
      </c>
      <c r="B803" s="31" t="s">
        <v>8</v>
      </c>
      <c r="C803" s="58" t="s">
        <v>574</v>
      </c>
      <c r="D803" s="32" t="s">
        <v>593</v>
      </c>
      <c r="E803" s="31" t="s">
        <v>193</v>
      </c>
      <c r="F803" s="49">
        <v>4349.3</v>
      </c>
      <c r="G803" s="49">
        <f>2825.8+452.6</f>
        <v>3278.4</v>
      </c>
      <c r="H803" s="258">
        <f t="shared" si="112"/>
        <v>0.75377646977674573</v>
      </c>
      <c r="I803" s="124"/>
      <c r="J803" s="124"/>
      <c r="K803" s="124"/>
      <c r="L803" s="125"/>
      <c r="M803" s="125"/>
    </row>
    <row r="804" spans="1:13" s="5" customFormat="1" ht="22.9" customHeight="1" x14ac:dyDescent="0.2">
      <c r="A804" s="30" t="s">
        <v>594</v>
      </c>
      <c r="B804" s="31" t="s">
        <v>8</v>
      </c>
      <c r="C804" s="58" t="s">
        <v>574</v>
      </c>
      <c r="D804" s="32" t="s">
        <v>595</v>
      </c>
      <c r="E804" s="31"/>
      <c r="F804" s="49">
        <f>F805+F807</f>
        <v>198</v>
      </c>
      <c r="G804" s="49">
        <f>G805+G807</f>
        <v>198</v>
      </c>
      <c r="H804" s="258">
        <f t="shared" si="112"/>
        <v>1</v>
      </c>
      <c r="I804" s="124"/>
      <c r="J804" s="124"/>
      <c r="K804" s="124"/>
      <c r="L804" s="125"/>
      <c r="M804" s="125"/>
    </row>
    <row r="805" spans="1:13" s="5" customFormat="1" ht="31.5" hidden="1" x14ac:dyDescent="0.2">
      <c r="A805" s="81" t="s">
        <v>25</v>
      </c>
      <c r="B805" s="31" t="s">
        <v>8</v>
      </c>
      <c r="C805" s="58" t="s">
        <v>596</v>
      </c>
      <c r="D805" s="32" t="s">
        <v>593</v>
      </c>
      <c r="E805" s="31" t="s">
        <v>36</v>
      </c>
      <c r="F805" s="49">
        <f>F806</f>
        <v>0</v>
      </c>
      <c r="G805" s="49">
        <f>G806</f>
        <v>0</v>
      </c>
      <c r="H805" s="258" t="e">
        <f t="shared" si="112"/>
        <v>#DIV/0!</v>
      </c>
      <c r="I805" s="124"/>
      <c r="J805" s="124"/>
      <c r="K805" s="124"/>
      <c r="L805" s="125"/>
      <c r="M805" s="125"/>
    </row>
    <row r="806" spans="1:13" s="28" customFormat="1" ht="31.5" hidden="1" x14ac:dyDescent="0.2">
      <c r="A806" s="81" t="s">
        <v>26</v>
      </c>
      <c r="B806" s="31" t="s">
        <v>8</v>
      </c>
      <c r="C806" s="58" t="s">
        <v>596</v>
      </c>
      <c r="D806" s="32" t="s">
        <v>593</v>
      </c>
      <c r="E806" s="31" t="s">
        <v>37</v>
      </c>
      <c r="F806" s="49">
        <f>5917-5917</f>
        <v>0</v>
      </c>
      <c r="G806" s="49">
        <f>5917-5917</f>
        <v>0</v>
      </c>
      <c r="H806" s="258" t="e">
        <f t="shared" si="112"/>
        <v>#DIV/0!</v>
      </c>
      <c r="I806" s="124"/>
      <c r="J806" s="124"/>
      <c r="K806" s="124"/>
      <c r="L806" s="125"/>
      <c r="M806" s="125"/>
    </row>
    <row r="807" spans="1:13" s="5" customFormat="1" ht="31.5" x14ac:dyDescent="0.2">
      <c r="A807" s="43" t="s">
        <v>25</v>
      </c>
      <c r="B807" s="31" t="s">
        <v>8</v>
      </c>
      <c r="C807" s="58" t="s">
        <v>574</v>
      </c>
      <c r="D807" s="32" t="s">
        <v>595</v>
      </c>
      <c r="E807" s="31" t="s">
        <v>36</v>
      </c>
      <c r="F807" s="49">
        <f>F808</f>
        <v>198</v>
      </c>
      <c r="G807" s="49">
        <f>G808</f>
        <v>198</v>
      </c>
      <c r="H807" s="258">
        <f t="shared" si="112"/>
        <v>1</v>
      </c>
      <c r="I807" s="124"/>
      <c r="J807" s="124"/>
      <c r="K807" s="124"/>
      <c r="L807" s="125"/>
      <c r="M807" s="125"/>
    </row>
    <row r="808" spans="1:13" s="5" customFormat="1" ht="31.5" x14ac:dyDescent="0.2">
      <c r="A808" s="43" t="s">
        <v>26</v>
      </c>
      <c r="B808" s="31" t="s">
        <v>8</v>
      </c>
      <c r="C808" s="58" t="s">
        <v>574</v>
      </c>
      <c r="D808" s="32" t="s">
        <v>595</v>
      </c>
      <c r="E808" s="31" t="s">
        <v>37</v>
      </c>
      <c r="F808" s="49">
        <v>198</v>
      </c>
      <c r="G808" s="49">
        <v>198</v>
      </c>
      <c r="H808" s="258">
        <f t="shared" si="112"/>
        <v>1</v>
      </c>
      <c r="I808" s="124"/>
      <c r="J808" s="124"/>
      <c r="K808" s="124"/>
      <c r="L808" s="125"/>
      <c r="M808" s="125"/>
    </row>
    <row r="809" spans="1:13" s="45" customFormat="1" x14ac:dyDescent="0.2">
      <c r="A809" s="14" t="s">
        <v>197</v>
      </c>
      <c r="B809" s="15" t="s">
        <v>8</v>
      </c>
      <c r="C809" s="53" t="s">
        <v>574</v>
      </c>
      <c r="D809" s="15" t="s">
        <v>198</v>
      </c>
      <c r="E809" s="24"/>
      <c r="F809" s="203">
        <f>F810+F813+F831</f>
        <v>228.1</v>
      </c>
      <c r="G809" s="203">
        <f>G810+G813+G831</f>
        <v>204.8</v>
      </c>
      <c r="H809" s="258">
        <f t="shared" si="112"/>
        <v>0.89785181937746605</v>
      </c>
      <c r="I809" s="124"/>
      <c r="J809" s="124"/>
      <c r="K809" s="124"/>
      <c r="L809" s="125"/>
      <c r="M809" s="125"/>
    </row>
    <row r="810" spans="1:13" s="44" customFormat="1" ht="31.5" x14ac:dyDescent="0.2">
      <c r="A810" s="85" t="s">
        <v>204</v>
      </c>
      <c r="B810" s="40" t="s">
        <v>8</v>
      </c>
      <c r="C810" s="68" t="s">
        <v>574</v>
      </c>
      <c r="D810" s="106" t="s">
        <v>205</v>
      </c>
      <c r="E810" s="106"/>
      <c r="F810" s="142">
        <f>F811</f>
        <v>10</v>
      </c>
      <c r="G810" s="142">
        <f>G811</f>
        <v>10</v>
      </c>
      <c r="H810" s="258">
        <f t="shared" si="112"/>
        <v>1</v>
      </c>
      <c r="I810" s="124"/>
      <c r="J810" s="124"/>
      <c r="K810" s="124"/>
      <c r="L810" s="125"/>
      <c r="M810" s="125"/>
    </row>
    <row r="811" spans="1:13" s="44" customFormat="1" ht="31.5" x14ac:dyDescent="0.2">
      <c r="A811" s="89" t="s">
        <v>150</v>
      </c>
      <c r="B811" s="31" t="s">
        <v>8</v>
      </c>
      <c r="C811" s="58" t="s">
        <v>574</v>
      </c>
      <c r="D811" s="141" t="s">
        <v>205</v>
      </c>
      <c r="E811" s="32">
        <v>600</v>
      </c>
      <c r="F811" s="29">
        <f>F812</f>
        <v>10</v>
      </c>
      <c r="G811" s="29">
        <f>G812</f>
        <v>10</v>
      </c>
      <c r="H811" s="258">
        <f t="shared" si="112"/>
        <v>1</v>
      </c>
      <c r="I811" s="124"/>
      <c r="J811" s="124"/>
      <c r="K811" s="124"/>
      <c r="L811" s="125"/>
      <c r="M811" s="125"/>
    </row>
    <row r="812" spans="1:13" s="44" customFormat="1" x14ac:dyDescent="0.2">
      <c r="A812" s="89" t="s">
        <v>192</v>
      </c>
      <c r="B812" s="31" t="s">
        <v>8</v>
      </c>
      <c r="C812" s="58" t="s">
        <v>574</v>
      </c>
      <c r="D812" s="141" t="s">
        <v>205</v>
      </c>
      <c r="E812" s="32">
        <v>620</v>
      </c>
      <c r="F812" s="29">
        <v>10</v>
      </c>
      <c r="G812" s="29">
        <v>10</v>
      </c>
      <c r="H812" s="258">
        <f t="shared" si="112"/>
        <v>1</v>
      </c>
      <c r="I812" s="124"/>
      <c r="J812" s="124"/>
      <c r="K812" s="124"/>
      <c r="L812" s="125"/>
      <c r="M812" s="125"/>
    </row>
    <row r="813" spans="1:13" s="44" customFormat="1" ht="63" x14ac:dyDescent="0.2">
      <c r="A813" s="85" t="s">
        <v>214</v>
      </c>
      <c r="B813" s="40" t="s">
        <v>8</v>
      </c>
      <c r="C813" s="68" t="s">
        <v>574</v>
      </c>
      <c r="D813" s="106" t="s">
        <v>215</v>
      </c>
      <c r="E813" s="106"/>
      <c r="F813" s="142">
        <f>F814</f>
        <v>100</v>
      </c>
      <c r="G813" s="142">
        <f>G814</f>
        <v>100</v>
      </c>
      <c r="H813" s="258">
        <f t="shared" si="112"/>
        <v>1</v>
      </c>
      <c r="I813" s="124"/>
      <c r="J813" s="124"/>
      <c r="K813" s="124"/>
      <c r="L813" s="125"/>
      <c r="M813" s="125"/>
    </row>
    <row r="814" spans="1:13" s="44" customFormat="1" ht="31.5" x14ac:dyDescent="0.2">
      <c r="A814" s="89" t="s">
        <v>150</v>
      </c>
      <c r="B814" s="31" t="s">
        <v>8</v>
      </c>
      <c r="C814" s="58" t="s">
        <v>574</v>
      </c>
      <c r="D814" s="32" t="s">
        <v>215</v>
      </c>
      <c r="E814" s="32">
        <v>600</v>
      </c>
      <c r="F814" s="29">
        <f>F815</f>
        <v>100</v>
      </c>
      <c r="G814" s="29">
        <f>G815</f>
        <v>100</v>
      </c>
      <c r="H814" s="258">
        <f t="shared" si="112"/>
        <v>1</v>
      </c>
      <c r="I814" s="124"/>
      <c r="J814" s="124"/>
      <c r="K814" s="124"/>
      <c r="L814" s="125"/>
      <c r="M814" s="125"/>
    </row>
    <row r="815" spans="1:13" s="27" customFormat="1" x14ac:dyDescent="0.2">
      <c r="A815" s="89" t="s">
        <v>192</v>
      </c>
      <c r="B815" s="31" t="s">
        <v>8</v>
      </c>
      <c r="C815" s="58" t="s">
        <v>574</v>
      </c>
      <c r="D815" s="32" t="s">
        <v>215</v>
      </c>
      <c r="E815" s="32">
        <v>620</v>
      </c>
      <c r="F815" s="29">
        <v>100</v>
      </c>
      <c r="G815" s="29">
        <v>100</v>
      </c>
      <c r="H815" s="258">
        <f t="shared" si="112"/>
        <v>1</v>
      </c>
      <c r="I815" s="124"/>
      <c r="J815" s="124"/>
      <c r="K815" s="124"/>
      <c r="L815" s="125"/>
      <c r="M815" s="125"/>
    </row>
    <row r="816" spans="1:13" s="28" customFormat="1" hidden="1" x14ac:dyDescent="0.2">
      <c r="A816" s="90" t="s">
        <v>120</v>
      </c>
      <c r="B816" s="15" t="s">
        <v>8</v>
      </c>
      <c r="C816" s="15" t="s">
        <v>596</v>
      </c>
      <c r="D816" s="15" t="s">
        <v>121</v>
      </c>
      <c r="E816" s="24"/>
      <c r="F816" s="80">
        <f t="shared" ref="F816:G819" si="117">F817</f>
        <v>0</v>
      </c>
      <c r="G816" s="80">
        <f t="shared" si="117"/>
        <v>0</v>
      </c>
      <c r="H816" s="258" t="e">
        <f t="shared" si="112"/>
        <v>#DIV/0!</v>
      </c>
      <c r="I816" s="124"/>
      <c r="J816" s="124"/>
      <c r="K816" s="124"/>
      <c r="L816" s="125"/>
      <c r="M816" s="125"/>
    </row>
    <row r="817" spans="1:13" s="28" customFormat="1" ht="31.5" hidden="1" x14ac:dyDescent="0.2">
      <c r="A817" s="43" t="s">
        <v>531</v>
      </c>
      <c r="B817" s="31" t="s">
        <v>8</v>
      </c>
      <c r="C817" s="31" t="s">
        <v>596</v>
      </c>
      <c r="D817" s="31" t="s">
        <v>379</v>
      </c>
      <c r="E817" s="32"/>
      <c r="F817" s="83">
        <f t="shared" si="117"/>
        <v>0</v>
      </c>
      <c r="G817" s="83">
        <f t="shared" si="117"/>
        <v>0</v>
      </c>
      <c r="H817" s="258" t="e">
        <f t="shared" si="112"/>
        <v>#DIV/0!</v>
      </c>
      <c r="I817" s="124"/>
      <c r="J817" s="124"/>
      <c r="K817" s="124"/>
      <c r="L817" s="125"/>
      <c r="M817" s="125"/>
    </row>
    <row r="818" spans="1:13" s="28" customFormat="1" ht="31.5" hidden="1" x14ac:dyDescent="0.2">
      <c r="A818" s="43" t="s">
        <v>532</v>
      </c>
      <c r="B818" s="31" t="s">
        <v>8</v>
      </c>
      <c r="C818" s="31" t="s">
        <v>596</v>
      </c>
      <c r="D818" s="31" t="s">
        <v>379</v>
      </c>
      <c r="E818" s="32"/>
      <c r="F818" s="83">
        <f t="shared" si="117"/>
        <v>0</v>
      </c>
      <c r="G818" s="83">
        <f t="shared" si="117"/>
        <v>0</v>
      </c>
      <c r="H818" s="258" t="e">
        <f t="shared" si="112"/>
        <v>#DIV/0!</v>
      </c>
      <c r="I818" s="124"/>
      <c r="J818" s="124"/>
      <c r="K818" s="124"/>
      <c r="L818" s="125"/>
      <c r="M818" s="125"/>
    </row>
    <row r="819" spans="1:13" s="28" customFormat="1" ht="31.5" hidden="1" x14ac:dyDescent="0.2">
      <c r="A819" s="89" t="s">
        <v>150</v>
      </c>
      <c r="B819" s="31" t="s">
        <v>8</v>
      </c>
      <c r="C819" s="31" t="s">
        <v>596</v>
      </c>
      <c r="D819" s="31" t="s">
        <v>379</v>
      </c>
      <c r="E819" s="32">
        <v>600</v>
      </c>
      <c r="F819" s="83">
        <f t="shared" si="117"/>
        <v>0</v>
      </c>
      <c r="G819" s="83">
        <f t="shared" si="117"/>
        <v>0</v>
      </c>
      <c r="H819" s="258" t="e">
        <f t="shared" si="112"/>
        <v>#DIV/0!</v>
      </c>
      <c r="I819" s="124"/>
      <c r="J819" s="124"/>
      <c r="K819" s="124"/>
      <c r="L819" s="125"/>
      <c r="M819" s="125"/>
    </row>
    <row r="820" spans="1:13" s="28" customFormat="1" hidden="1" x14ac:dyDescent="0.2">
      <c r="A820" s="89" t="s">
        <v>192</v>
      </c>
      <c r="B820" s="31" t="s">
        <v>8</v>
      </c>
      <c r="C820" s="31" t="s">
        <v>596</v>
      </c>
      <c r="D820" s="31" t="s">
        <v>379</v>
      </c>
      <c r="E820" s="32">
        <v>620</v>
      </c>
      <c r="F820" s="83"/>
      <c r="G820" s="83"/>
      <c r="H820" s="258" t="e">
        <f t="shared" si="112"/>
        <v>#DIV/0!</v>
      </c>
      <c r="I820" s="124"/>
      <c r="J820" s="124"/>
      <c r="K820" s="124"/>
      <c r="L820" s="125"/>
      <c r="M820" s="125"/>
    </row>
    <row r="821" spans="1:13" s="28" customFormat="1" hidden="1" x14ac:dyDescent="0.2">
      <c r="A821" s="204" t="s">
        <v>597</v>
      </c>
      <c r="B821" s="144" t="s">
        <v>8</v>
      </c>
      <c r="C821" s="144" t="s">
        <v>598</v>
      </c>
      <c r="D821" s="144"/>
      <c r="E821" s="32"/>
      <c r="F821" s="136">
        <f>F822+F828</f>
        <v>0</v>
      </c>
      <c r="G821" s="136">
        <f>G822+G828</f>
        <v>0</v>
      </c>
      <c r="H821" s="258" t="e">
        <f t="shared" si="112"/>
        <v>#DIV/0!</v>
      </c>
      <c r="I821" s="124"/>
      <c r="J821" s="124"/>
      <c r="K821" s="124"/>
      <c r="L821" s="125"/>
      <c r="M821" s="125"/>
    </row>
    <row r="822" spans="1:13" s="116" customFormat="1" ht="47.25" hidden="1" x14ac:dyDescent="0.2">
      <c r="A822" s="92" t="s">
        <v>599</v>
      </c>
      <c r="B822" s="93" t="s">
        <v>8</v>
      </c>
      <c r="C822" s="93" t="s">
        <v>598</v>
      </c>
      <c r="D822" s="94" t="s">
        <v>577</v>
      </c>
      <c r="E822" s="93"/>
      <c r="F822" s="137">
        <f t="shared" ref="F822:G826" si="118">F823</f>
        <v>0</v>
      </c>
      <c r="G822" s="137">
        <f t="shared" si="118"/>
        <v>0</v>
      </c>
      <c r="H822" s="258" t="e">
        <f t="shared" si="112"/>
        <v>#DIV/0!</v>
      </c>
      <c r="I822" s="124"/>
      <c r="J822" s="124"/>
      <c r="K822" s="124"/>
      <c r="L822" s="125"/>
      <c r="M822" s="125"/>
    </row>
    <row r="823" spans="1:13" s="116" customFormat="1" ht="31.5" hidden="1" x14ac:dyDescent="0.2">
      <c r="A823" s="112" t="s">
        <v>600</v>
      </c>
      <c r="B823" s="100" t="s">
        <v>8</v>
      </c>
      <c r="C823" s="100" t="s">
        <v>598</v>
      </c>
      <c r="D823" s="101" t="s">
        <v>601</v>
      </c>
      <c r="E823" s="100"/>
      <c r="F823" s="176">
        <f t="shared" si="118"/>
        <v>0</v>
      </c>
      <c r="G823" s="176">
        <f t="shared" si="118"/>
        <v>0</v>
      </c>
      <c r="H823" s="258" t="e">
        <f t="shared" si="112"/>
        <v>#DIV/0!</v>
      </c>
      <c r="I823" s="124"/>
      <c r="J823" s="124"/>
      <c r="K823" s="124"/>
      <c r="L823" s="125"/>
      <c r="M823" s="125"/>
    </row>
    <row r="824" spans="1:13" s="116" customFormat="1" ht="63" hidden="1" x14ac:dyDescent="0.2">
      <c r="A824" s="112" t="s">
        <v>602</v>
      </c>
      <c r="B824" s="100" t="s">
        <v>8</v>
      </c>
      <c r="C824" s="100" t="s">
        <v>598</v>
      </c>
      <c r="D824" s="101" t="s">
        <v>603</v>
      </c>
      <c r="E824" s="100"/>
      <c r="F824" s="176">
        <f t="shared" si="118"/>
        <v>0</v>
      </c>
      <c r="G824" s="176">
        <f t="shared" si="118"/>
        <v>0</v>
      </c>
      <c r="H824" s="258" t="e">
        <f t="shared" si="112"/>
        <v>#DIV/0!</v>
      </c>
      <c r="I824" s="124"/>
      <c r="J824" s="124"/>
      <c r="K824" s="124"/>
      <c r="L824" s="125"/>
      <c r="M824" s="125"/>
    </row>
    <row r="825" spans="1:13" s="116" customFormat="1" ht="173.25" hidden="1" x14ac:dyDescent="0.2">
      <c r="A825" s="196" t="s">
        <v>604</v>
      </c>
      <c r="B825" s="100" t="s">
        <v>8</v>
      </c>
      <c r="C825" s="100" t="s">
        <v>598</v>
      </c>
      <c r="D825" s="101" t="s">
        <v>605</v>
      </c>
      <c r="E825" s="100"/>
      <c r="F825" s="176">
        <f t="shared" si="118"/>
        <v>0</v>
      </c>
      <c r="G825" s="176">
        <f t="shared" si="118"/>
        <v>0</v>
      </c>
      <c r="H825" s="258" t="e">
        <f t="shared" si="112"/>
        <v>#DIV/0!</v>
      </c>
      <c r="I825" s="124"/>
      <c r="J825" s="124"/>
      <c r="K825" s="124"/>
      <c r="L825" s="125"/>
      <c r="M825" s="125"/>
    </row>
    <row r="826" spans="1:13" s="116" customFormat="1" ht="31.5" hidden="1" x14ac:dyDescent="0.2">
      <c r="A826" s="189" t="s">
        <v>150</v>
      </c>
      <c r="B826" s="100" t="s">
        <v>8</v>
      </c>
      <c r="C826" s="100" t="s">
        <v>598</v>
      </c>
      <c r="D826" s="101" t="s">
        <v>605</v>
      </c>
      <c r="E826" s="100" t="s">
        <v>151</v>
      </c>
      <c r="F826" s="176">
        <f t="shared" si="118"/>
        <v>0</v>
      </c>
      <c r="G826" s="176">
        <f t="shared" si="118"/>
        <v>0</v>
      </c>
      <c r="H826" s="258" t="e">
        <f t="shared" si="112"/>
        <v>#DIV/0!</v>
      </c>
      <c r="I826" s="124"/>
      <c r="J826" s="124"/>
      <c r="K826" s="124"/>
      <c r="L826" s="125"/>
      <c r="M826" s="125"/>
    </row>
    <row r="827" spans="1:13" s="116" customFormat="1" hidden="1" x14ac:dyDescent="0.2">
      <c r="A827" s="189" t="s">
        <v>192</v>
      </c>
      <c r="B827" s="100" t="s">
        <v>8</v>
      </c>
      <c r="C827" s="100" t="s">
        <v>598</v>
      </c>
      <c r="D827" s="101" t="s">
        <v>605</v>
      </c>
      <c r="E827" s="100" t="s">
        <v>193</v>
      </c>
      <c r="F827" s="176">
        <f>50-50</f>
        <v>0</v>
      </c>
      <c r="G827" s="176">
        <f>50-50</f>
        <v>0</v>
      </c>
      <c r="H827" s="258" t="e">
        <f t="shared" si="112"/>
        <v>#DIV/0!</v>
      </c>
      <c r="I827" s="124"/>
      <c r="J827" s="124"/>
      <c r="K827" s="124"/>
      <c r="L827" s="125"/>
      <c r="M827" s="125"/>
    </row>
    <row r="828" spans="1:13" s="177" customFormat="1" ht="63" hidden="1" x14ac:dyDescent="0.2">
      <c r="A828" s="175" t="s">
        <v>606</v>
      </c>
      <c r="B828" s="100" t="s">
        <v>8</v>
      </c>
      <c r="C828" s="100" t="s">
        <v>598</v>
      </c>
      <c r="D828" s="101" t="s">
        <v>607</v>
      </c>
      <c r="E828" s="100"/>
      <c r="F828" s="176">
        <f>F829</f>
        <v>0</v>
      </c>
      <c r="G828" s="176">
        <f>G829</f>
        <v>0</v>
      </c>
      <c r="H828" s="258" t="e">
        <f t="shared" si="112"/>
        <v>#DIV/0!</v>
      </c>
      <c r="I828" s="124"/>
      <c r="J828" s="124"/>
      <c r="K828" s="124"/>
      <c r="L828" s="125"/>
      <c r="M828" s="125"/>
    </row>
    <row r="829" spans="1:13" s="116" customFormat="1" ht="31.5" hidden="1" x14ac:dyDescent="0.2">
      <c r="A829" s="189" t="s">
        <v>150</v>
      </c>
      <c r="B829" s="100" t="s">
        <v>8</v>
      </c>
      <c r="C829" s="100" t="s">
        <v>598</v>
      </c>
      <c r="D829" s="32" t="s">
        <v>607</v>
      </c>
      <c r="E829" s="100" t="s">
        <v>151</v>
      </c>
      <c r="F829" s="176">
        <f>F830</f>
        <v>0</v>
      </c>
      <c r="G829" s="176">
        <f>G830</f>
        <v>0</v>
      </c>
      <c r="H829" s="258" t="e">
        <f t="shared" si="112"/>
        <v>#DIV/0!</v>
      </c>
      <c r="I829" s="124"/>
      <c r="J829" s="124"/>
      <c r="K829" s="124"/>
      <c r="L829" s="125"/>
      <c r="M829" s="125"/>
    </row>
    <row r="830" spans="1:13" s="116" customFormat="1" hidden="1" x14ac:dyDescent="0.2">
      <c r="A830" s="189" t="s">
        <v>192</v>
      </c>
      <c r="B830" s="100" t="s">
        <v>8</v>
      </c>
      <c r="C830" s="100" t="s">
        <v>598</v>
      </c>
      <c r="D830" s="32" t="s">
        <v>607</v>
      </c>
      <c r="E830" s="100" t="s">
        <v>193</v>
      </c>
      <c r="F830" s="176">
        <f>2.6-2.6</f>
        <v>0</v>
      </c>
      <c r="G830" s="176">
        <f>2.6-2.6</f>
        <v>0</v>
      </c>
      <c r="H830" s="258" t="e">
        <f t="shared" si="112"/>
        <v>#DIV/0!</v>
      </c>
      <c r="I830" s="124"/>
      <c r="J830" s="124"/>
      <c r="K830" s="124"/>
      <c r="L830" s="125"/>
      <c r="M830" s="125"/>
    </row>
    <row r="831" spans="1:13" s="206" customFormat="1" ht="63" x14ac:dyDescent="0.2">
      <c r="A831" s="205" t="s">
        <v>608</v>
      </c>
      <c r="B831" s="58" t="s">
        <v>8</v>
      </c>
      <c r="C831" s="58" t="s">
        <v>574</v>
      </c>
      <c r="D831" s="128" t="s">
        <v>609</v>
      </c>
      <c r="E831" s="68"/>
      <c r="F831" s="86">
        <f t="shared" ref="F831:G834" si="119">F832</f>
        <v>118.1</v>
      </c>
      <c r="G831" s="86">
        <f t="shared" si="119"/>
        <v>94.8</v>
      </c>
      <c r="H831" s="258">
        <f t="shared" si="112"/>
        <v>0.80270956816257411</v>
      </c>
      <c r="I831" s="124"/>
      <c r="J831" s="124"/>
      <c r="K831" s="124"/>
      <c r="L831" s="125"/>
      <c r="M831" s="125"/>
    </row>
    <row r="832" spans="1:13" s="207" customFormat="1" ht="21.6" customHeight="1" x14ac:dyDescent="0.2">
      <c r="A832" s="139" t="s">
        <v>610</v>
      </c>
      <c r="B832" s="58" t="s">
        <v>8</v>
      </c>
      <c r="C832" s="58" t="s">
        <v>574</v>
      </c>
      <c r="D832" s="59" t="s">
        <v>611</v>
      </c>
      <c r="E832" s="58"/>
      <c r="F832" s="49">
        <f t="shared" si="119"/>
        <v>118.1</v>
      </c>
      <c r="G832" s="49">
        <f t="shared" si="119"/>
        <v>94.8</v>
      </c>
      <c r="H832" s="258">
        <f t="shared" si="112"/>
        <v>0.80270956816257411</v>
      </c>
      <c r="I832" s="124"/>
      <c r="J832" s="124"/>
      <c r="K832" s="124"/>
      <c r="L832" s="125"/>
      <c r="M832" s="125"/>
    </row>
    <row r="833" spans="1:13" s="207" customFormat="1" ht="31.5" x14ac:dyDescent="0.2">
      <c r="A833" s="139" t="s">
        <v>612</v>
      </c>
      <c r="B833" s="58" t="s">
        <v>8</v>
      </c>
      <c r="C833" s="58" t="s">
        <v>574</v>
      </c>
      <c r="D833" s="59" t="s">
        <v>613</v>
      </c>
      <c r="E833" s="58"/>
      <c r="F833" s="49">
        <f t="shared" si="119"/>
        <v>118.1</v>
      </c>
      <c r="G833" s="49">
        <f t="shared" si="119"/>
        <v>94.8</v>
      </c>
      <c r="H833" s="258">
        <f t="shared" si="112"/>
        <v>0.80270956816257411</v>
      </c>
      <c r="I833" s="124"/>
      <c r="J833" s="124"/>
      <c r="K833" s="124"/>
      <c r="L833" s="125"/>
      <c r="M833" s="125"/>
    </row>
    <row r="834" spans="1:13" s="207" customFormat="1" ht="31.5" x14ac:dyDescent="0.2">
      <c r="A834" s="139" t="s">
        <v>150</v>
      </c>
      <c r="B834" s="58" t="s">
        <v>8</v>
      </c>
      <c r="C834" s="58" t="s">
        <v>574</v>
      </c>
      <c r="D834" s="59" t="s">
        <v>613</v>
      </c>
      <c r="E834" s="58" t="s">
        <v>151</v>
      </c>
      <c r="F834" s="49">
        <f t="shared" si="119"/>
        <v>118.1</v>
      </c>
      <c r="G834" s="49">
        <f t="shared" si="119"/>
        <v>94.8</v>
      </c>
      <c r="H834" s="258">
        <f t="shared" si="112"/>
        <v>0.80270956816257411</v>
      </c>
      <c r="I834" s="124"/>
      <c r="J834" s="124"/>
      <c r="K834" s="124"/>
      <c r="L834" s="125"/>
      <c r="M834" s="125"/>
    </row>
    <row r="835" spans="1:13" s="207" customFormat="1" ht="15.75" customHeight="1" x14ac:dyDescent="0.2">
      <c r="A835" s="139" t="s">
        <v>192</v>
      </c>
      <c r="B835" s="58" t="s">
        <v>8</v>
      </c>
      <c r="C835" s="58" t="s">
        <v>574</v>
      </c>
      <c r="D835" s="59" t="s">
        <v>613</v>
      </c>
      <c r="E835" s="58" t="s">
        <v>193</v>
      </c>
      <c r="F835" s="49">
        <f>93.3+24.8</f>
        <v>118.1</v>
      </c>
      <c r="G835" s="49">
        <v>94.8</v>
      </c>
      <c r="H835" s="258">
        <f t="shared" si="112"/>
        <v>0.80270956816257411</v>
      </c>
      <c r="I835" s="124"/>
      <c r="J835" s="124"/>
      <c r="K835" s="124"/>
      <c r="L835" s="125"/>
      <c r="M835" s="125"/>
    </row>
    <row r="836" spans="1:13" s="208" customFormat="1" hidden="1" x14ac:dyDescent="0.2">
      <c r="A836" s="120" t="s">
        <v>614</v>
      </c>
      <c r="B836" s="121" t="s">
        <v>8</v>
      </c>
      <c r="C836" s="121" t="s">
        <v>596</v>
      </c>
      <c r="D836" s="121"/>
      <c r="E836" s="122"/>
      <c r="F836" s="50">
        <f>F837+F847</f>
        <v>0</v>
      </c>
      <c r="G836" s="50">
        <f>G837+G847</f>
        <v>0</v>
      </c>
      <c r="H836" s="265">
        <f t="shared" ref="H836" si="120">H837+H847</f>
        <v>0</v>
      </c>
      <c r="I836" s="124"/>
      <c r="J836" s="124"/>
      <c r="K836" s="124"/>
      <c r="L836" s="125"/>
      <c r="M836" s="125"/>
    </row>
    <row r="837" spans="1:13" s="208" customFormat="1" ht="31.5" hidden="1" x14ac:dyDescent="0.2">
      <c r="A837" s="127" t="s">
        <v>591</v>
      </c>
      <c r="B837" s="53" t="s">
        <v>8</v>
      </c>
      <c r="C837" s="53" t="s">
        <v>596</v>
      </c>
      <c r="D837" s="53" t="s">
        <v>592</v>
      </c>
      <c r="E837" s="53"/>
      <c r="F837" s="48">
        <f>F838+F843</f>
        <v>0</v>
      </c>
      <c r="G837" s="48">
        <f>G838+G843</f>
        <v>0</v>
      </c>
      <c r="H837" s="260">
        <f t="shared" ref="H837" si="121">H838+H843</f>
        <v>0</v>
      </c>
      <c r="I837" s="124"/>
      <c r="J837" s="124"/>
      <c r="K837" s="124"/>
      <c r="L837" s="125"/>
      <c r="M837" s="125"/>
    </row>
    <row r="838" spans="1:13" s="208" customFormat="1" ht="31.5" hidden="1" x14ac:dyDescent="0.2">
      <c r="A838" s="103" t="s">
        <v>591</v>
      </c>
      <c r="B838" s="58" t="s">
        <v>8</v>
      </c>
      <c r="C838" s="58" t="s">
        <v>596</v>
      </c>
      <c r="D838" s="59" t="s">
        <v>593</v>
      </c>
      <c r="E838" s="58"/>
      <c r="F838" s="49">
        <f>F839+F841</f>
        <v>0</v>
      </c>
      <c r="G838" s="49">
        <f>G839+G841</f>
        <v>0</v>
      </c>
      <c r="H838" s="261">
        <f t="shared" ref="H838" si="122">H839+H841</f>
        <v>0</v>
      </c>
      <c r="I838" s="124"/>
      <c r="J838" s="124"/>
      <c r="K838" s="124"/>
      <c r="L838" s="125"/>
      <c r="M838" s="125"/>
    </row>
    <row r="839" spans="1:13" s="208" customFormat="1" ht="31.5" hidden="1" x14ac:dyDescent="0.2">
      <c r="A839" s="155" t="s">
        <v>25</v>
      </c>
      <c r="B839" s="58" t="s">
        <v>8</v>
      </c>
      <c r="C839" s="58" t="s">
        <v>596</v>
      </c>
      <c r="D839" s="59" t="s">
        <v>593</v>
      </c>
      <c r="E839" s="58" t="s">
        <v>36</v>
      </c>
      <c r="F839" s="49">
        <f>F840</f>
        <v>0</v>
      </c>
      <c r="G839" s="49">
        <f>G840</f>
        <v>0</v>
      </c>
      <c r="H839" s="261">
        <f t="shared" ref="H839" si="123">H840</f>
        <v>0</v>
      </c>
      <c r="I839" s="124"/>
      <c r="J839" s="124"/>
      <c r="K839" s="124"/>
      <c r="L839" s="125"/>
      <c r="M839" s="125"/>
    </row>
    <row r="840" spans="1:13" s="60" customFormat="1" ht="31.5" hidden="1" x14ac:dyDescent="0.2">
      <c r="A840" s="155" t="s">
        <v>26</v>
      </c>
      <c r="B840" s="58" t="s">
        <v>8</v>
      </c>
      <c r="C840" s="58" t="s">
        <v>596</v>
      </c>
      <c r="D840" s="59" t="s">
        <v>593</v>
      </c>
      <c r="E840" s="58" t="s">
        <v>37</v>
      </c>
      <c r="F840" s="49">
        <f>5917-5917</f>
        <v>0</v>
      </c>
      <c r="G840" s="49">
        <f>5917-5917</f>
        <v>0</v>
      </c>
      <c r="H840" s="261">
        <v>0</v>
      </c>
      <c r="I840" s="124"/>
      <c r="J840" s="124"/>
      <c r="K840" s="124"/>
      <c r="L840" s="125"/>
      <c r="M840" s="125"/>
    </row>
    <row r="841" spans="1:13" s="208" customFormat="1" ht="31.5" hidden="1" x14ac:dyDescent="0.2">
      <c r="A841" s="139" t="s">
        <v>150</v>
      </c>
      <c r="B841" s="58" t="s">
        <v>8</v>
      </c>
      <c r="C841" s="58" t="s">
        <v>596</v>
      </c>
      <c r="D841" s="59" t="s">
        <v>593</v>
      </c>
      <c r="E841" s="58" t="s">
        <v>151</v>
      </c>
      <c r="F841" s="49">
        <f>F842</f>
        <v>0</v>
      </c>
      <c r="G841" s="49">
        <f>G842</f>
        <v>0</v>
      </c>
      <c r="H841" s="261">
        <f t="shared" ref="H841" si="124">H842</f>
        <v>0</v>
      </c>
      <c r="I841" s="124"/>
      <c r="J841" s="124"/>
      <c r="K841" s="124"/>
      <c r="L841" s="125"/>
      <c r="M841" s="125"/>
    </row>
    <row r="842" spans="1:13" s="208" customFormat="1" hidden="1" x14ac:dyDescent="0.2">
      <c r="A842" s="139" t="s">
        <v>192</v>
      </c>
      <c r="B842" s="58" t="s">
        <v>8</v>
      </c>
      <c r="C842" s="58" t="s">
        <v>596</v>
      </c>
      <c r="D842" s="59" t="s">
        <v>593</v>
      </c>
      <c r="E842" s="58" t="s">
        <v>193</v>
      </c>
      <c r="F842" s="49">
        <f>4320.2-4320.2</f>
        <v>0</v>
      </c>
      <c r="G842" s="49">
        <f>4320.2-4320.2</f>
        <v>0</v>
      </c>
      <c r="H842" s="261">
        <f>4269-4269</f>
        <v>0</v>
      </c>
      <c r="I842" s="124"/>
      <c r="J842" s="124"/>
      <c r="K842" s="124"/>
      <c r="L842" s="125"/>
      <c r="M842" s="125"/>
    </row>
    <row r="843" spans="1:13" s="208" customFormat="1" ht="21.6" hidden="1" customHeight="1" x14ac:dyDescent="0.2">
      <c r="A843" s="139" t="s">
        <v>610</v>
      </c>
      <c r="B843" s="58" t="s">
        <v>8</v>
      </c>
      <c r="C843" s="58" t="s">
        <v>596</v>
      </c>
      <c r="D843" s="59" t="s">
        <v>615</v>
      </c>
      <c r="E843" s="58"/>
      <c r="F843" s="49">
        <f>F844</f>
        <v>0</v>
      </c>
      <c r="G843" s="49">
        <f>G844</f>
        <v>0</v>
      </c>
      <c r="H843" s="261">
        <f>H844</f>
        <v>0</v>
      </c>
      <c r="I843" s="124"/>
      <c r="J843" s="124"/>
      <c r="K843" s="124"/>
      <c r="L843" s="125"/>
      <c r="M843" s="125"/>
    </row>
    <row r="844" spans="1:13" s="208" customFormat="1" ht="47.25" hidden="1" x14ac:dyDescent="0.2">
      <c r="A844" s="139" t="s">
        <v>616</v>
      </c>
      <c r="B844" s="58" t="s">
        <v>8</v>
      </c>
      <c r="C844" s="58" t="s">
        <v>596</v>
      </c>
      <c r="D844" s="59" t="s">
        <v>617</v>
      </c>
      <c r="E844" s="58"/>
      <c r="F844" s="49">
        <f>F845</f>
        <v>0</v>
      </c>
      <c r="G844" s="49">
        <f>G845</f>
        <v>0</v>
      </c>
      <c r="H844" s="261">
        <f t="shared" ref="H844:H845" si="125">H845</f>
        <v>0</v>
      </c>
      <c r="I844" s="124"/>
      <c r="J844" s="124"/>
      <c r="K844" s="124"/>
      <c r="L844" s="125"/>
      <c r="M844" s="125"/>
    </row>
    <row r="845" spans="1:13" s="208" customFormat="1" ht="31.5" hidden="1" x14ac:dyDescent="0.2">
      <c r="A845" s="139" t="s">
        <v>150</v>
      </c>
      <c r="B845" s="58" t="s">
        <v>8</v>
      </c>
      <c r="C845" s="58" t="s">
        <v>596</v>
      </c>
      <c r="D845" s="59" t="s">
        <v>617</v>
      </c>
      <c r="E845" s="58" t="s">
        <v>151</v>
      </c>
      <c r="F845" s="49">
        <f>F846</f>
        <v>0</v>
      </c>
      <c r="G845" s="49">
        <f>G846</f>
        <v>0</v>
      </c>
      <c r="H845" s="261">
        <f t="shared" si="125"/>
        <v>0</v>
      </c>
      <c r="I845" s="124"/>
      <c r="J845" s="124"/>
      <c r="K845" s="124"/>
      <c r="L845" s="125"/>
      <c r="M845" s="125"/>
    </row>
    <row r="846" spans="1:13" s="208" customFormat="1" ht="15.75" hidden="1" customHeight="1" x14ac:dyDescent="0.2">
      <c r="A846" s="139" t="s">
        <v>192</v>
      </c>
      <c r="B846" s="58" t="s">
        <v>8</v>
      </c>
      <c r="C846" s="58" t="s">
        <v>596</v>
      </c>
      <c r="D846" s="59" t="s">
        <v>617</v>
      </c>
      <c r="E846" s="58" t="s">
        <v>193</v>
      </c>
      <c r="F846" s="49">
        <f>93.3-93.3</f>
        <v>0</v>
      </c>
      <c r="G846" s="49">
        <f>93.3-93.3</f>
        <v>0</v>
      </c>
      <c r="H846" s="261">
        <f t="shared" ref="H846" si="126">93.3-93.3</f>
        <v>0</v>
      </c>
      <c r="I846" s="124"/>
      <c r="J846" s="124"/>
      <c r="K846" s="124"/>
      <c r="L846" s="125"/>
      <c r="M846" s="125"/>
    </row>
    <row r="847" spans="1:13" s="72" customFormat="1" hidden="1" x14ac:dyDescent="0.2">
      <c r="A847" s="64" t="s">
        <v>197</v>
      </c>
      <c r="B847" s="53" t="s">
        <v>8</v>
      </c>
      <c r="C847" s="53" t="s">
        <v>596</v>
      </c>
      <c r="D847" s="53" t="s">
        <v>198</v>
      </c>
      <c r="E847" s="54"/>
      <c r="F847" s="203">
        <f>F848+F851</f>
        <v>0</v>
      </c>
      <c r="G847" s="203">
        <f>G848+G851</f>
        <v>0</v>
      </c>
      <c r="H847" s="267">
        <f t="shared" ref="H847" si="127">H848+H851</f>
        <v>0</v>
      </c>
      <c r="I847" s="124"/>
      <c r="J847" s="124"/>
      <c r="K847" s="124"/>
      <c r="L847" s="125"/>
      <c r="M847" s="125"/>
    </row>
    <row r="848" spans="1:13" s="72" customFormat="1" ht="31.5" hidden="1" x14ac:dyDescent="0.2">
      <c r="A848" s="67" t="s">
        <v>204</v>
      </c>
      <c r="B848" s="68" t="s">
        <v>8</v>
      </c>
      <c r="C848" s="68" t="s">
        <v>596</v>
      </c>
      <c r="D848" s="128" t="s">
        <v>205</v>
      </c>
      <c r="E848" s="128"/>
      <c r="F848" s="131">
        <f>F849</f>
        <v>0</v>
      </c>
      <c r="G848" s="131">
        <f>G849</f>
        <v>0</v>
      </c>
      <c r="H848" s="266">
        <f t="shared" ref="H848:H849" si="128">H849</f>
        <v>0</v>
      </c>
      <c r="I848" s="124"/>
      <c r="J848" s="124"/>
      <c r="K848" s="124"/>
      <c r="L848" s="125"/>
      <c r="M848" s="125"/>
    </row>
    <row r="849" spans="1:13" s="72" customFormat="1" ht="31.5" hidden="1" x14ac:dyDescent="0.2">
      <c r="A849" s="139" t="s">
        <v>150</v>
      </c>
      <c r="B849" s="58" t="s">
        <v>8</v>
      </c>
      <c r="C849" s="58" t="s">
        <v>596</v>
      </c>
      <c r="D849" s="209" t="s">
        <v>205</v>
      </c>
      <c r="E849" s="59">
        <v>600</v>
      </c>
      <c r="F849" s="49">
        <f>F850</f>
        <v>0</v>
      </c>
      <c r="G849" s="49">
        <f>G850</f>
        <v>0</v>
      </c>
      <c r="H849" s="261">
        <f t="shared" si="128"/>
        <v>0</v>
      </c>
      <c r="I849" s="124"/>
      <c r="J849" s="124"/>
      <c r="K849" s="124"/>
      <c r="L849" s="125"/>
      <c r="M849" s="125"/>
    </row>
    <row r="850" spans="1:13" s="72" customFormat="1" hidden="1" x14ac:dyDescent="0.2">
      <c r="A850" s="139" t="s">
        <v>192</v>
      </c>
      <c r="B850" s="58" t="s">
        <v>8</v>
      </c>
      <c r="C850" s="58" t="s">
        <v>596</v>
      </c>
      <c r="D850" s="209" t="s">
        <v>205</v>
      </c>
      <c r="E850" s="59">
        <v>620</v>
      </c>
      <c r="F850" s="49">
        <f>10-10</f>
        <v>0</v>
      </c>
      <c r="G850" s="49">
        <f>10-10</f>
        <v>0</v>
      </c>
      <c r="H850" s="261">
        <f t="shared" ref="H850" si="129">739.7-739.7</f>
        <v>0</v>
      </c>
      <c r="I850" s="124"/>
      <c r="J850" s="124"/>
      <c r="K850" s="124"/>
      <c r="L850" s="125"/>
      <c r="M850" s="125"/>
    </row>
    <row r="851" spans="1:13" s="72" customFormat="1" ht="63" hidden="1" x14ac:dyDescent="0.2">
      <c r="A851" s="67" t="s">
        <v>214</v>
      </c>
      <c r="B851" s="68" t="s">
        <v>8</v>
      </c>
      <c r="C851" s="68" t="s">
        <v>596</v>
      </c>
      <c r="D851" s="128" t="s">
        <v>215</v>
      </c>
      <c r="E851" s="128"/>
      <c r="F851" s="131">
        <f>F852</f>
        <v>0</v>
      </c>
      <c r="G851" s="131">
        <f>G852</f>
        <v>0</v>
      </c>
      <c r="H851" s="266">
        <f t="shared" ref="H851:H852" si="130">H852</f>
        <v>0</v>
      </c>
      <c r="I851" s="124"/>
      <c r="J851" s="124"/>
      <c r="K851" s="124"/>
      <c r="L851" s="125"/>
      <c r="M851" s="125"/>
    </row>
    <row r="852" spans="1:13" s="72" customFormat="1" ht="31.5" hidden="1" x14ac:dyDescent="0.2">
      <c r="A852" s="139" t="s">
        <v>150</v>
      </c>
      <c r="B852" s="58" t="s">
        <v>8</v>
      </c>
      <c r="C852" s="58" t="s">
        <v>596</v>
      </c>
      <c r="D852" s="59" t="s">
        <v>215</v>
      </c>
      <c r="E852" s="59">
        <v>600</v>
      </c>
      <c r="F852" s="49">
        <f>F853</f>
        <v>0</v>
      </c>
      <c r="G852" s="49">
        <f>G853</f>
        <v>0</v>
      </c>
      <c r="H852" s="261">
        <f t="shared" si="130"/>
        <v>0</v>
      </c>
      <c r="I852" s="124"/>
      <c r="J852" s="124"/>
      <c r="K852" s="124"/>
      <c r="L852" s="125"/>
      <c r="M852" s="125"/>
    </row>
    <row r="853" spans="1:13" s="60" customFormat="1" hidden="1" x14ac:dyDescent="0.2">
      <c r="A853" s="139" t="s">
        <v>192</v>
      </c>
      <c r="B853" s="58" t="s">
        <v>8</v>
      </c>
      <c r="C853" s="58" t="s">
        <v>596</v>
      </c>
      <c r="D853" s="59" t="s">
        <v>215</v>
      </c>
      <c r="E853" s="59">
        <v>620</v>
      </c>
      <c r="F853" s="49">
        <f>100-100</f>
        <v>0</v>
      </c>
      <c r="G853" s="49">
        <f>100-100</f>
        <v>0</v>
      </c>
      <c r="H853" s="261">
        <f t="shared" ref="H853" si="131">739.7-739.7</f>
        <v>0</v>
      </c>
      <c r="I853" s="124"/>
      <c r="J853" s="124"/>
      <c r="K853" s="124"/>
      <c r="L853" s="125"/>
      <c r="M853" s="125"/>
    </row>
    <row r="854" spans="1:13" s="213" customFormat="1" ht="31.5" x14ac:dyDescent="0.2">
      <c r="A854" s="210" t="s">
        <v>618</v>
      </c>
      <c r="B854" s="19" t="s">
        <v>619</v>
      </c>
      <c r="C854" s="211"/>
      <c r="D854" s="211"/>
      <c r="E854" s="211"/>
      <c r="F854" s="212">
        <f>F855+F896+F876+F912+F1371-0.2</f>
        <v>374743.63</v>
      </c>
      <c r="G854" s="212">
        <f>G855+G896+G876+G912+G1371</f>
        <v>218441.53000000006</v>
      </c>
      <c r="H854" s="268">
        <f>G854/F854</f>
        <v>0.58290925452155129</v>
      </c>
      <c r="I854" s="124"/>
      <c r="J854" s="124"/>
      <c r="K854" s="124"/>
      <c r="L854" s="125"/>
      <c r="M854" s="125"/>
    </row>
    <row r="855" spans="1:13" s="28" customFormat="1" x14ac:dyDescent="0.2">
      <c r="A855" s="23" t="s">
        <v>133</v>
      </c>
      <c r="B855" s="15" t="s">
        <v>619</v>
      </c>
      <c r="C855" s="15" t="s">
        <v>134</v>
      </c>
      <c r="D855" s="24"/>
      <c r="E855" s="24"/>
      <c r="F855" s="80">
        <f>F856+F859+F864</f>
        <v>122.6</v>
      </c>
      <c r="G855" s="80">
        <f>G856+G859+G864</f>
        <v>122.6</v>
      </c>
      <c r="H855" s="258">
        <f t="shared" ref="H855:H918" si="132">G855/F855</f>
        <v>1</v>
      </c>
      <c r="I855" s="124"/>
      <c r="J855" s="124"/>
      <c r="K855" s="124"/>
      <c r="L855" s="125"/>
      <c r="M855" s="125"/>
    </row>
    <row r="856" spans="1:13" s="28" customFormat="1" hidden="1" x14ac:dyDescent="0.2">
      <c r="A856" s="30" t="s">
        <v>21</v>
      </c>
      <c r="B856" s="31" t="s">
        <v>8</v>
      </c>
      <c r="C856" s="31" t="s">
        <v>134</v>
      </c>
      <c r="D856" s="31" t="s">
        <v>22</v>
      </c>
      <c r="E856" s="32"/>
      <c r="F856" s="83">
        <f>F857</f>
        <v>0</v>
      </c>
      <c r="G856" s="83">
        <f>G857</f>
        <v>0</v>
      </c>
      <c r="H856" s="258" t="e">
        <f t="shared" si="132"/>
        <v>#DIV/0!</v>
      </c>
      <c r="I856" s="124"/>
      <c r="J856" s="124"/>
      <c r="K856" s="124"/>
      <c r="L856" s="125"/>
      <c r="M856" s="125"/>
    </row>
    <row r="857" spans="1:13" s="28" customFormat="1" hidden="1" x14ac:dyDescent="0.2">
      <c r="A857" s="89" t="s">
        <v>29</v>
      </c>
      <c r="B857" s="31" t="s">
        <v>8</v>
      </c>
      <c r="C857" s="31" t="s">
        <v>134</v>
      </c>
      <c r="D857" s="31" t="s">
        <v>22</v>
      </c>
      <c r="E857" s="32">
        <v>800</v>
      </c>
      <c r="F857" s="83">
        <f>F858</f>
        <v>0</v>
      </c>
      <c r="G857" s="83">
        <f>G858</f>
        <v>0</v>
      </c>
      <c r="H857" s="258" t="e">
        <f t="shared" si="132"/>
        <v>#DIV/0!</v>
      </c>
      <c r="I857" s="124"/>
      <c r="J857" s="124"/>
      <c r="K857" s="124"/>
      <c r="L857" s="125"/>
      <c r="M857" s="125"/>
    </row>
    <row r="858" spans="1:13" s="28" customFormat="1" hidden="1" x14ac:dyDescent="0.2">
      <c r="A858" s="89" t="s">
        <v>31</v>
      </c>
      <c r="B858" s="31" t="s">
        <v>8</v>
      </c>
      <c r="C858" s="31" t="s">
        <v>134</v>
      </c>
      <c r="D858" s="31" t="s">
        <v>22</v>
      </c>
      <c r="E858" s="32">
        <v>850</v>
      </c>
      <c r="F858" s="83">
        <v>0</v>
      </c>
      <c r="G858" s="83">
        <v>0</v>
      </c>
      <c r="H858" s="258" t="e">
        <f t="shared" si="132"/>
        <v>#DIV/0!</v>
      </c>
      <c r="I858" s="124"/>
      <c r="J858" s="124"/>
      <c r="K858" s="124"/>
      <c r="L858" s="125"/>
      <c r="M858" s="125"/>
    </row>
    <row r="859" spans="1:13" s="45" customFormat="1" hidden="1" x14ac:dyDescent="0.2">
      <c r="A859" s="33" t="s">
        <v>67</v>
      </c>
      <c r="B859" s="34" t="s">
        <v>619</v>
      </c>
      <c r="C859" s="34" t="s">
        <v>134</v>
      </c>
      <c r="D859" s="34" t="s">
        <v>68</v>
      </c>
      <c r="E859" s="41"/>
      <c r="F859" s="136">
        <f t="shared" ref="F859:G862" si="133">F860</f>
        <v>0</v>
      </c>
      <c r="G859" s="136">
        <f t="shared" si="133"/>
        <v>0</v>
      </c>
      <c r="H859" s="258" t="e">
        <f t="shared" si="132"/>
        <v>#DIV/0!</v>
      </c>
      <c r="I859" s="124"/>
      <c r="J859" s="124"/>
      <c r="K859" s="124"/>
      <c r="L859" s="125"/>
      <c r="M859" s="125"/>
    </row>
    <row r="860" spans="1:13" s="28" customFormat="1" hidden="1" x14ac:dyDescent="0.2">
      <c r="A860" s="30" t="s">
        <v>33</v>
      </c>
      <c r="B860" s="31" t="s">
        <v>619</v>
      </c>
      <c r="C860" s="31" t="s">
        <v>134</v>
      </c>
      <c r="D860" s="31" t="s">
        <v>69</v>
      </c>
      <c r="E860" s="24"/>
      <c r="F860" s="83">
        <f t="shared" si="133"/>
        <v>0</v>
      </c>
      <c r="G860" s="83">
        <f t="shared" si="133"/>
        <v>0</v>
      </c>
      <c r="H860" s="258" t="e">
        <f t="shared" si="132"/>
        <v>#DIV/0!</v>
      </c>
      <c r="I860" s="124"/>
      <c r="J860" s="124"/>
      <c r="K860" s="124"/>
      <c r="L860" s="125"/>
      <c r="M860" s="125"/>
    </row>
    <row r="861" spans="1:13" s="28" customFormat="1" ht="31.5" hidden="1" x14ac:dyDescent="0.2">
      <c r="A861" s="81" t="s">
        <v>154</v>
      </c>
      <c r="B861" s="31" t="s">
        <v>619</v>
      </c>
      <c r="C861" s="31" t="s">
        <v>134</v>
      </c>
      <c r="D861" s="31" t="s">
        <v>71</v>
      </c>
      <c r="E861" s="24"/>
      <c r="F861" s="83">
        <f t="shared" si="133"/>
        <v>0</v>
      </c>
      <c r="G861" s="83">
        <f t="shared" si="133"/>
        <v>0</v>
      </c>
      <c r="H861" s="258" t="e">
        <f t="shared" si="132"/>
        <v>#DIV/0!</v>
      </c>
      <c r="I861" s="124"/>
      <c r="J861" s="124"/>
      <c r="K861" s="124"/>
      <c r="L861" s="125"/>
      <c r="M861" s="125"/>
    </row>
    <row r="862" spans="1:13" s="28" customFormat="1" ht="31.5" hidden="1" x14ac:dyDescent="0.2">
      <c r="A862" s="43" t="s">
        <v>25</v>
      </c>
      <c r="B862" s="31" t="s">
        <v>619</v>
      </c>
      <c r="C862" s="31" t="s">
        <v>134</v>
      </c>
      <c r="D862" s="31" t="s">
        <v>71</v>
      </c>
      <c r="E862" s="32">
        <v>200</v>
      </c>
      <c r="F862" s="83">
        <f t="shared" si="133"/>
        <v>0</v>
      </c>
      <c r="G862" s="83">
        <f t="shared" si="133"/>
        <v>0</v>
      </c>
      <c r="H862" s="258" t="e">
        <f t="shared" si="132"/>
        <v>#DIV/0!</v>
      </c>
      <c r="I862" s="124"/>
      <c r="J862" s="124"/>
      <c r="K862" s="124"/>
      <c r="L862" s="125"/>
      <c r="M862" s="125"/>
    </row>
    <row r="863" spans="1:13" s="28" customFormat="1" ht="31.5" hidden="1" x14ac:dyDescent="0.2">
      <c r="A863" s="43" t="s">
        <v>26</v>
      </c>
      <c r="B863" s="31" t="s">
        <v>619</v>
      </c>
      <c r="C863" s="31" t="s">
        <v>134</v>
      </c>
      <c r="D863" s="31" t="s">
        <v>71</v>
      </c>
      <c r="E863" s="32">
        <v>240</v>
      </c>
      <c r="F863" s="83"/>
      <c r="G863" s="83"/>
      <c r="H863" s="258" t="e">
        <f t="shared" si="132"/>
        <v>#DIV/0!</v>
      </c>
      <c r="I863" s="124"/>
      <c r="J863" s="124"/>
      <c r="K863" s="124"/>
      <c r="L863" s="125"/>
      <c r="M863" s="125"/>
    </row>
    <row r="864" spans="1:13" s="102" customFormat="1" ht="31.5" x14ac:dyDescent="0.2">
      <c r="A864" s="143" t="s">
        <v>171</v>
      </c>
      <c r="B864" s="144" t="s">
        <v>619</v>
      </c>
      <c r="C864" s="144" t="s">
        <v>134</v>
      </c>
      <c r="D864" s="144" t="s">
        <v>172</v>
      </c>
      <c r="E864" s="214"/>
      <c r="F864" s="215">
        <f>F865</f>
        <v>122.6</v>
      </c>
      <c r="G864" s="215">
        <f>G865</f>
        <v>122.6</v>
      </c>
      <c r="H864" s="258">
        <f t="shared" si="132"/>
        <v>1</v>
      </c>
      <c r="I864" s="124"/>
      <c r="J864" s="124"/>
      <c r="K864" s="124"/>
      <c r="L864" s="125"/>
      <c r="M864" s="125"/>
    </row>
    <row r="865" spans="1:13" s="28" customFormat="1" x14ac:dyDescent="0.2">
      <c r="A865" s="30" t="s">
        <v>173</v>
      </c>
      <c r="B865" s="31" t="s">
        <v>619</v>
      </c>
      <c r="C865" s="31" t="s">
        <v>134</v>
      </c>
      <c r="D865" s="31" t="s">
        <v>174</v>
      </c>
      <c r="E865" s="32"/>
      <c r="F865" s="83">
        <f>F866+F873</f>
        <v>122.6</v>
      </c>
      <c r="G865" s="83">
        <f>G866+G873</f>
        <v>122.6</v>
      </c>
      <c r="H865" s="258">
        <f t="shared" si="132"/>
        <v>1</v>
      </c>
      <c r="I865" s="124"/>
      <c r="J865" s="124"/>
      <c r="K865" s="124"/>
      <c r="L865" s="125"/>
      <c r="M865" s="125"/>
    </row>
    <row r="866" spans="1:13" s="28" customFormat="1" x14ac:dyDescent="0.2">
      <c r="A866" s="30" t="s">
        <v>175</v>
      </c>
      <c r="B866" s="31" t="s">
        <v>619</v>
      </c>
      <c r="C866" s="31" t="s">
        <v>134</v>
      </c>
      <c r="D866" s="31" t="s">
        <v>176</v>
      </c>
      <c r="E866" s="32"/>
      <c r="F866" s="83">
        <f t="shared" ref="F866:G868" si="134">F867</f>
        <v>97.5</v>
      </c>
      <c r="G866" s="83">
        <f t="shared" si="134"/>
        <v>97.5</v>
      </c>
      <c r="H866" s="258">
        <f t="shared" si="132"/>
        <v>1</v>
      </c>
      <c r="I866" s="124"/>
      <c r="J866" s="124"/>
      <c r="K866" s="124"/>
      <c r="L866" s="125"/>
      <c r="M866" s="125"/>
    </row>
    <row r="867" spans="1:13" s="45" customFormat="1" ht="49.9" customHeight="1" x14ac:dyDescent="0.2">
      <c r="A867" s="30" t="s">
        <v>188</v>
      </c>
      <c r="B867" s="31" t="s">
        <v>619</v>
      </c>
      <c r="C867" s="31" t="s">
        <v>134</v>
      </c>
      <c r="D867" s="31" t="s">
        <v>189</v>
      </c>
      <c r="E867" s="32"/>
      <c r="F867" s="29">
        <f t="shared" si="134"/>
        <v>97.5</v>
      </c>
      <c r="G867" s="29">
        <f t="shared" si="134"/>
        <v>97.5</v>
      </c>
      <c r="H867" s="258">
        <f t="shared" si="132"/>
        <v>1</v>
      </c>
      <c r="I867" s="124"/>
      <c r="J867" s="124"/>
      <c r="K867" s="124"/>
      <c r="L867" s="125"/>
      <c r="M867" s="125"/>
    </row>
    <row r="868" spans="1:13" s="45" customFormat="1" ht="17.45" customHeight="1" x14ac:dyDescent="0.2">
      <c r="A868" s="38" t="s">
        <v>29</v>
      </c>
      <c r="B868" s="31" t="s">
        <v>619</v>
      </c>
      <c r="C868" s="31" t="s">
        <v>134</v>
      </c>
      <c r="D868" s="31" t="s">
        <v>189</v>
      </c>
      <c r="E868" s="32">
        <v>800</v>
      </c>
      <c r="F868" s="29">
        <f t="shared" si="134"/>
        <v>97.5</v>
      </c>
      <c r="G868" s="29">
        <f t="shared" si="134"/>
        <v>97.5</v>
      </c>
      <c r="H868" s="258">
        <f t="shared" si="132"/>
        <v>1</v>
      </c>
      <c r="I868" s="124"/>
      <c r="J868" s="124"/>
      <c r="K868" s="124"/>
      <c r="L868" s="125"/>
      <c r="M868" s="125"/>
    </row>
    <row r="869" spans="1:13" s="45" customFormat="1" ht="18" customHeight="1" x14ac:dyDescent="0.2">
      <c r="A869" s="30" t="s">
        <v>30</v>
      </c>
      <c r="B869" s="31" t="s">
        <v>619</v>
      </c>
      <c r="C869" s="31" t="s">
        <v>134</v>
      </c>
      <c r="D869" s="31" t="s">
        <v>189</v>
      </c>
      <c r="E869" s="32">
        <v>830</v>
      </c>
      <c r="F869" s="29">
        <v>97.5</v>
      </c>
      <c r="G869" s="29">
        <v>97.5</v>
      </c>
      <c r="H869" s="258">
        <f t="shared" si="132"/>
        <v>1</v>
      </c>
      <c r="I869" s="124"/>
      <c r="J869" s="124"/>
      <c r="K869" s="124"/>
      <c r="L869" s="125"/>
      <c r="M869" s="125"/>
    </row>
    <row r="870" spans="1:13" s="28" customFormat="1" ht="46.9" hidden="1" customHeight="1" x14ac:dyDescent="0.2">
      <c r="A870" s="30" t="s">
        <v>620</v>
      </c>
      <c r="B870" s="31" t="s">
        <v>619</v>
      </c>
      <c r="C870" s="31" t="s">
        <v>134</v>
      </c>
      <c r="D870" s="31" t="s">
        <v>621</v>
      </c>
      <c r="E870" s="32"/>
      <c r="F870" s="83">
        <f>F871</f>
        <v>0</v>
      </c>
      <c r="G870" s="83">
        <f>G871</f>
        <v>0</v>
      </c>
      <c r="H870" s="258" t="e">
        <f t="shared" si="132"/>
        <v>#DIV/0!</v>
      </c>
      <c r="I870" s="124"/>
      <c r="J870" s="124"/>
      <c r="K870" s="124"/>
      <c r="L870" s="125"/>
      <c r="M870" s="125"/>
    </row>
    <row r="871" spans="1:13" s="28" customFormat="1" hidden="1" x14ac:dyDescent="0.2">
      <c r="A871" s="43" t="s">
        <v>29</v>
      </c>
      <c r="B871" s="31" t="s">
        <v>619</v>
      </c>
      <c r="C871" s="31" t="s">
        <v>134</v>
      </c>
      <c r="D871" s="31" t="s">
        <v>621</v>
      </c>
      <c r="E871" s="32">
        <v>800</v>
      </c>
      <c r="F871" s="83">
        <f>F872</f>
        <v>0</v>
      </c>
      <c r="G871" s="83">
        <f>G872</f>
        <v>0</v>
      </c>
      <c r="H871" s="258" t="e">
        <f t="shared" si="132"/>
        <v>#DIV/0!</v>
      </c>
      <c r="I871" s="124"/>
      <c r="J871" s="124"/>
      <c r="K871" s="124"/>
      <c r="L871" s="125"/>
      <c r="M871" s="125"/>
    </row>
    <row r="872" spans="1:13" s="28" customFormat="1" ht="18.75" hidden="1" customHeight="1" x14ac:dyDescent="0.2">
      <c r="A872" s="43" t="s">
        <v>31</v>
      </c>
      <c r="B872" s="31" t="s">
        <v>619</v>
      </c>
      <c r="C872" s="31" t="s">
        <v>134</v>
      </c>
      <c r="D872" s="31" t="s">
        <v>621</v>
      </c>
      <c r="E872" s="32">
        <v>850</v>
      </c>
      <c r="F872" s="83"/>
      <c r="G872" s="83"/>
      <c r="H872" s="258" t="e">
        <f t="shared" si="132"/>
        <v>#DIV/0!</v>
      </c>
      <c r="I872" s="124"/>
      <c r="J872" s="124"/>
      <c r="K872" s="124"/>
      <c r="L872" s="125"/>
      <c r="M872" s="125"/>
    </row>
    <row r="873" spans="1:13" s="72" customFormat="1" x14ac:dyDescent="0.2">
      <c r="A873" s="103" t="s">
        <v>190</v>
      </c>
      <c r="B873" s="58" t="s">
        <v>619</v>
      </c>
      <c r="C873" s="58" t="s">
        <v>134</v>
      </c>
      <c r="D873" s="58" t="s">
        <v>191</v>
      </c>
      <c r="E873" s="59"/>
      <c r="F873" s="49">
        <f>F874</f>
        <v>25.1</v>
      </c>
      <c r="G873" s="49">
        <f>G874</f>
        <v>25.1</v>
      </c>
      <c r="H873" s="258">
        <f t="shared" si="132"/>
        <v>1</v>
      </c>
      <c r="I873" s="124"/>
      <c r="J873" s="124"/>
      <c r="K873" s="124"/>
      <c r="L873" s="125"/>
      <c r="M873" s="125"/>
    </row>
    <row r="874" spans="1:13" s="45" customFormat="1" x14ac:dyDescent="0.2">
      <c r="A874" s="30" t="s">
        <v>29</v>
      </c>
      <c r="B874" s="31" t="s">
        <v>619</v>
      </c>
      <c r="C874" s="31" t="s">
        <v>134</v>
      </c>
      <c r="D874" s="31" t="s">
        <v>191</v>
      </c>
      <c r="E874" s="31" t="s">
        <v>130</v>
      </c>
      <c r="F874" s="29">
        <f>F875</f>
        <v>25.1</v>
      </c>
      <c r="G874" s="29">
        <f>G875</f>
        <v>25.1</v>
      </c>
      <c r="H874" s="258">
        <f t="shared" si="132"/>
        <v>1</v>
      </c>
      <c r="I874" s="124"/>
      <c r="J874" s="124"/>
      <c r="K874" s="124"/>
      <c r="L874" s="125"/>
      <c r="M874" s="125"/>
    </row>
    <row r="875" spans="1:13" s="45" customFormat="1" x14ac:dyDescent="0.2">
      <c r="A875" s="103" t="s">
        <v>31</v>
      </c>
      <c r="B875" s="31" t="s">
        <v>619</v>
      </c>
      <c r="C875" s="31" t="s">
        <v>134</v>
      </c>
      <c r="D875" s="31" t="s">
        <v>191</v>
      </c>
      <c r="E875" s="31" t="s">
        <v>168</v>
      </c>
      <c r="F875" s="29">
        <v>25.1</v>
      </c>
      <c r="G875" s="29">
        <v>25.1</v>
      </c>
      <c r="H875" s="258">
        <f t="shared" si="132"/>
        <v>1</v>
      </c>
      <c r="I875" s="124"/>
      <c r="J875" s="124"/>
      <c r="K875" s="124"/>
      <c r="L875" s="125"/>
      <c r="M875" s="125"/>
    </row>
    <row r="876" spans="1:13" s="28" customFormat="1" hidden="1" x14ac:dyDescent="0.2">
      <c r="A876" s="216" t="s">
        <v>234</v>
      </c>
      <c r="B876" s="15" t="s">
        <v>619</v>
      </c>
      <c r="C876" s="15" t="s">
        <v>235</v>
      </c>
      <c r="D876" s="24"/>
      <c r="E876" s="24"/>
      <c r="F876" s="80">
        <f>F877</f>
        <v>0</v>
      </c>
      <c r="G876" s="80">
        <f>G877</f>
        <v>0</v>
      </c>
      <c r="H876" s="258" t="e">
        <f t="shared" si="132"/>
        <v>#DIV/0!</v>
      </c>
      <c r="I876" s="124"/>
      <c r="J876" s="124"/>
      <c r="K876" s="124"/>
      <c r="L876" s="125"/>
      <c r="M876" s="125"/>
    </row>
    <row r="877" spans="1:13" s="28" customFormat="1" hidden="1" x14ac:dyDescent="0.2">
      <c r="A877" s="216" t="s">
        <v>307</v>
      </c>
      <c r="B877" s="34" t="s">
        <v>619</v>
      </c>
      <c r="C877" s="34" t="s">
        <v>308</v>
      </c>
      <c r="D877" s="24"/>
      <c r="E877" s="24"/>
      <c r="F877" s="80">
        <f>F878+F886</f>
        <v>0</v>
      </c>
      <c r="G877" s="80">
        <f>G878+G886</f>
        <v>0</v>
      </c>
      <c r="H877" s="258" t="e">
        <f t="shared" si="132"/>
        <v>#DIV/0!</v>
      </c>
      <c r="I877" s="124"/>
      <c r="J877" s="124"/>
      <c r="K877" s="124"/>
      <c r="L877" s="125"/>
      <c r="M877" s="125"/>
    </row>
    <row r="878" spans="1:13" s="28" customFormat="1" ht="31.5" hidden="1" x14ac:dyDescent="0.2">
      <c r="A878" s="135" t="s">
        <v>309</v>
      </c>
      <c r="B878" s="34" t="s">
        <v>619</v>
      </c>
      <c r="C878" s="34" t="s">
        <v>308</v>
      </c>
      <c r="D878" s="34" t="s">
        <v>73</v>
      </c>
      <c r="E878" s="34"/>
      <c r="F878" s="136">
        <f t="shared" ref="F878:G880" si="135">F879</f>
        <v>0</v>
      </c>
      <c r="G878" s="136">
        <f t="shared" si="135"/>
        <v>0</v>
      </c>
      <c r="H878" s="258" t="e">
        <f t="shared" si="132"/>
        <v>#DIV/0!</v>
      </c>
      <c r="I878" s="124"/>
      <c r="J878" s="124"/>
      <c r="K878" s="124"/>
      <c r="L878" s="125"/>
      <c r="M878" s="125"/>
    </row>
    <row r="879" spans="1:13" s="28" customFormat="1" ht="31.5" hidden="1" x14ac:dyDescent="0.2">
      <c r="A879" s="43" t="s">
        <v>310</v>
      </c>
      <c r="B879" s="31" t="s">
        <v>619</v>
      </c>
      <c r="C879" s="31" t="s">
        <v>308</v>
      </c>
      <c r="D879" s="31" t="s">
        <v>311</v>
      </c>
      <c r="E879" s="31"/>
      <c r="F879" s="83">
        <f t="shared" si="135"/>
        <v>0</v>
      </c>
      <c r="G879" s="83">
        <f t="shared" si="135"/>
        <v>0</v>
      </c>
      <c r="H879" s="258" t="e">
        <f t="shared" si="132"/>
        <v>#DIV/0!</v>
      </c>
      <c r="I879" s="124"/>
      <c r="J879" s="124"/>
      <c r="K879" s="124"/>
      <c r="L879" s="125"/>
      <c r="M879" s="125"/>
    </row>
    <row r="880" spans="1:13" s="28" customFormat="1" ht="47.25" hidden="1" x14ac:dyDescent="0.2">
      <c r="A880" s="43" t="s">
        <v>312</v>
      </c>
      <c r="B880" s="31" t="s">
        <v>619</v>
      </c>
      <c r="C880" s="31" t="s">
        <v>308</v>
      </c>
      <c r="D880" s="31" t="s">
        <v>313</v>
      </c>
      <c r="E880" s="31"/>
      <c r="F880" s="83">
        <f t="shared" si="135"/>
        <v>0</v>
      </c>
      <c r="G880" s="83">
        <f t="shared" si="135"/>
        <v>0</v>
      </c>
      <c r="H880" s="258" t="e">
        <f t="shared" si="132"/>
        <v>#DIV/0!</v>
      </c>
      <c r="I880" s="124"/>
      <c r="J880" s="124"/>
      <c r="K880" s="124"/>
      <c r="L880" s="125"/>
      <c r="M880" s="125"/>
    </row>
    <row r="881" spans="1:13" s="28" customFormat="1" ht="31.5" hidden="1" x14ac:dyDescent="0.2">
      <c r="A881" s="43" t="s">
        <v>314</v>
      </c>
      <c r="B881" s="31" t="s">
        <v>619</v>
      </c>
      <c r="C881" s="31" t="s">
        <v>308</v>
      </c>
      <c r="D881" s="31" t="s">
        <v>315</v>
      </c>
      <c r="E881" s="31"/>
      <c r="F881" s="83">
        <f>F882+F884</f>
        <v>0</v>
      </c>
      <c r="G881" s="83">
        <f>G882+G884</f>
        <v>0</v>
      </c>
      <c r="H881" s="258" t="e">
        <f t="shared" si="132"/>
        <v>#DIV/0!</v>
      </c>
      <c r="I881" s="124"/>
      <c r="J881" s="124"/>
      <c r="K881" s="124"/>
      <c r="L881" s="125"/>
      <c r="M881" s="125"/>
    </row>
    <row r="882" spans="1:13" s="28" customFormat="1" ht="31.5" hidden="1" x14ac:dyDescent="0.2">
      <c r="A882" s="43" t="s">
        <v>25</v>
      </c>
      <c r="B882" s="31" t="s">
        <v>619</v>
      </c>
      <c r="C882" s="31" t="s">
        <v>308</v>
      </c>
      <c r="D882" s="31" t="s">
        <v>315</v>
      </c>
      <c r="E882" s="31" t="s">
        <v>36</v>
      </c>
      <c r="F882" s="83">
        <f>F883</f>
        <v>0</v>
      </c>
      <c r="G882" s="83">
        <f>G883</f>
        <v>0</v>
      </c>
      <c r="H882" s="258" t="e">
        <f t="shared" si="132"/>
        <v>#DIV/0!</v>
      </c>
      <c r="I882" s="124"/>
      <c r="J882" s="124"/>
      <c r="K882" s="124"/>
      <c r="L882" s="125"/>
      <c r="M882" s="125"/>
    </row>
    <row r="883" spans="1:13" s="28" customFormat="1" ht="31.5" hidden="1" x14ac:dyDescent="0.2">
      <c r="A883" s="43" t="s">
        <v>26</v>
      </c>
      <c r="B883" s="31" t="s">
        <v>619</v>
      </c>
      <c r="C883" s="31" t="s">
        <v>308</v>
      </c>
      <c r="D883" s="31" t="s">
        <v>315</v>
      </c>
      <c r="E883" s="31" t="s">
        <v>37</v>
      </c>
      <c r="F883" s="83"/>
      <c r="G883" s="83"/>
      <c r="H883" s="258" t="e">
        <f t="shared" si="132"/>
        <v>#DIV/0!</v>
      </c>
      <c r="I883" s="124"/>
      <c r="J883" s="124"/>
      <c r="K883" s="124"/>
      <c r="L883" s="125"/>
      <c r="M883" s="125"/>
    </row>
    <row r="884" spans="1:13" s="28" customFormat="1" hidden="1" x14ac:dyDescent="0.2">
      <c r="A884" s="43" t="s">
        <v>27</v>
      </c>
      <c r="B884" s="31" t="s">
        <v>619</v>
      </c>
      <c r="C884" s="31" t="s">
        <v>308</v>
      </c>
      <c r="D884" s="31" t="s">
        <v>324</v>
      </c>
      <c r="E884" s="31" t="s">
        <v>155</v>
      </c>
      <c r="F884" s="83">
        <f>F885</f>
        <v>0</v>
      </c>
      <c r="G884" s="83">
        <f>G885</f>
        <v>0</v>
      </c>
      <c r="H884" s="258" t="e">
        <f t="shared" si="132"/>
        <v>#DIV/0!</v>
      </c>
      <c r="I884" s="124"/>
      <c r="J884" s="124"/>
      <c r="K884" s="124"/>
      <c r="L884" s="125"/>
      <c r="M884" s="125"/>
    </row>
    <row r="885" spans="1:13" s="28" customFormat="1" hidden="1" x14ac:dyDescent="0.2">
      <c r="A885" s="43" t="s">
        <v>156</v>
      </c>
      <c r="B885" s="31" t="s">
        <v>619</v>
      </c>
      <c r="C885" s="31" t="s">
        <v>308</v>
      </c>
      <c r="D885" s="31" t="s">
        <v>324</v>
      </c>
      <c r="E885" s="31" t="s">
        <v>157</v>
      </c>
      <c r="F885" s="83"/>
      <c r="G885" s="83"/>
      <c r="H885" s="258" t="e">
        <f t="shared" si="132"/>
        <v>#DIV/0!</v>
      </c>
      <c r="I885" s="124"/>
      <c r="J885" s="124"/>
      <c r="K885" s="124"/>
      <c r="L885" s="125"/>
      <c r="M885" s="125"/>
    </row>
    <row r="886" spans="1:13" s="28" customFormat="1" hidden="1" x14ac:dyDescent="0.2">
      <c r="A886" s="14" t="s">
        <v>197</v>
      </c>
      <c r="B886" s="15" t="s">
        <v>619</v>
      </c>
      <c r="C886" s="15" t="s">
        <v>308</v>
      </c>
      <c r="D886" s="15" t="s">
        <v>198</v>
      </c>
      <c r="E886" s="15"/>
      <c r="F886" s="80">
        <f t="shared" ref="F886:G889" si="136">F887</f>
        <v>0</v>
      </c>
      <c r="G886" s="80">
        <f t="shared" si="136"/>
        <v>0</v>
      </c>
      <c r="H886" s="258" t="e">
        <f t="shared" si="132"/>
        <v>#DIV/0!</v>
      </c>
      <c r="I886" s="124"/>
      <c r="J886" s="124"/>
      <c r="K886" s="124"/>
      <c r="L886" s="125"/>
      <c r="M886" s="125"/>
    </row>
    <row r="887" spans="1:13" s="28" customFormat="1" ht="31.5" hidden="1" x14ac:dyDescent="0.2">
      <c r="A887" s="85" t="s">
        <v>354</v>
      </c>
      <c r="B887" s="31" t="s">
        <v>619</v>
      </c>
      <c r="C887" s="31" t="s">
        <v>308</v>
      </c>
      <c r="D887" s="31" t="s">
        <v>355</v>
      </c>
      <c r="E887" s="31"/>
      <c r="F887" s="83">
        <f t="shared" si="136"/>
        <v>0</v>
      </c>
      <c r="G887" s="83">
        <f t="shared" si="136"/>
        <v>0</v>
      </c>
      <c r="H887" s="258" t="e">
        <f t="shared" si="132"/>
        <v>#DIV/0!</v>
      </c>
      <c r="I887" s="124"/>
      <c r="J887" s="124"/>
      <c r="K887" s="124"/>
      <c r="L887" s="125"/>
      <c r="M887" s="125"/>
    </row>
    <row r="888" spans="1:13" s="28" customFormat="1" ht="49.15" hidden="1" customHeight="1" x14ac:dyDescent="0.2">
      <c r="A888" s="36" t="s">
        <v>212</v>
      </c>
      <c r="B888" s="31" t="s">
        <v>619</v>
      </c>
      <c r="C888" s="31" t="s">
        <v>308</v>
      </c>
      <c r="D888" s="31" t="s">
        <v>213</v>
      </c>
      <c r="E888" s="31"/>
      <c r="F888" s="83">
        <f t="shared" si="136"/>
        <v>0</v>
      </c>
      <c r="G888" s="83">
        <f t="shared" si="136"/>
        <v>0</v>
      </c>
      <c r="H888" s="258" t="e">
        <f t="shared" si="132"/>
        <v>#DIV/0!</v>
      </c>
      <c r="I888" s="124"/>
      <c r="J888" s="124"/>
      <c r="K888" s="124"/>
      <c r="L888" s="125"/>
      <c r="M888" s="125"/>
    </row>
    <row r="889" spans="1:13" s="28" customFormat="1" ht="31.5" hidden="1" x14ac:dyDescent="0.2">
      <c r="A889" s="43" t="s">
        <v>25</v>
      </c>
      <c r="B889" s="31" t="s">
        <v>619</v>
      </c>
      <c r="C889" s="31" t="s">
        <v>308</v>
      </c>
      <c r="D889" s="31" t="s">
        <v>213</v>
      </c>
      <c r="E889" s="31" t="s">
        <v>36</v>
      </c>
      <c r="F889" s="83">
        <f t="shared" si="136"/>
        <v>0</v>
      </c>
      <c r="G889" s="83">
        <f t="shared" si="136"/>
        <v>0</v>
      </c>
      <c r="H889" s="258" t="e">
        <f t="shared" si="132"/>
        <v>#DIV/0!</v>
      </c>
      <c r="I889" s="124"/>
      <c r="J889" s="124"/>
      <c r="K889" s="124"/>
      <c r="L889" s="125"/>
      <c r="M889" s="125"/>
    </row>
    <row r="890" spans="1:13" s="28" customFormat="1" ht="31.5" hidden="1" x14ac:dyDescent="0.2">
      <c r="A890" s="43" t="s">
        <v>26</v>
      </c>
      <c r="B890" s="31" t="s">
        <v>619</v>
      </c>
      <c r="C890" s="31" t="s">
        <v>308</v>
      </c>
      <c r="D890" s="31" t="s">
        <v>213</v>
      </c>
      <c r="E890" s="31" t="s">
        <v>37</v>
      </c>
      <c r="F890" s="83"/>
      <c r="G890" s="83"/>
      <c r="H890" s="258" t="e">
        <f t="shared" si="132"/>
        <v>#DIV/0!</v>
      </c>
      <c r="I890" s="124"/>
      <c r="J890" s="124"/>
      <c r="K890" s="124"/>
      <c r="L890" s="125"/>
      <c r="M890" s="125"/>
    </row>
    <row r="891" spans="1:13" s="28" customFormat="1" ht="31.5" hidden="1" x14ac:dyDescent="0.2">
      <c r="A891" s="14" t="s">
        <v>622</v>
      </c>
      <c r="B891" s="15" t="s">
        <v>619</v>
      </c>
      <c r="C891" s="15" t="s">
        <v>308</v>
      </c>
      <c r="D891" s="24" t="s">
        <v>623</v>
      </c>
      <c r="E891" s="31"/>
      <c r="F891" s="83">
        <f t="shared" ref="F891:G893" si="137">F892</f>
        <v>0</v>
      </c>
      <c r="G891" s="83">
        <f t="shared" si="137"/>
        <v>0</v>
      </c>
      <c r="H891" s="258" t="e">
        <f t="shared" si="132"/>
        <v>#DIV/0!</v>
      </c>
      <c r="I891" s="124"/>
      <c r="J891" s="124"/>
      <c r="K891" s="124"/>
      <c r="L891" s="125"/>
      <c r="M891" s="125"/>
    </row>
    <row r="892" spans="1:13" s="28" customFormat="1" ht="31.5" hidden="1" x14ac:dyDescent="0.2">
      <c r="A892" s="36" t="s">
        <v>138</v>
      </c>
      <c r="B892" s="31" t="s">
        <v>619</v>
      </c>
      <c r="C892" s="31" t="s">
        <v>308</v>
      </c>
      <c r="D892" s="32" t="s">
        <v>624</v>
      </c>
      <c r="E892" s="31"/>
      <c r="F892" s="83">
        <f t="shared" si="137"/>
        <v>0</v>
      </c>
      <c r="G892" s="83">
        <f t="shared" si="137"/>
        <v>0</v>
      </c>
      <c r="H892" s="258" t="e">
        <f t="shared" si="132"/>
        <v>#DIV/0!</v>
      </c>
      <c r="I892" s="124"/>
      <c r="J892" s="124"/>
      <c r="K892" s="124"/>
      <c r="L892" s="125"/>
      <c r="M892" s="125"/>
    </row>
    <row r="893" spans="1:13" s="28" customFormat="1" hidden="1" x14ac:dyDescent="0.2">
      <c r="A893" s="43" t="s">
        <v>29</v>
      </c>
      <c r="B893" s="31" t="s">
        <v>619</v>
      </c>
      <c r="C893" s="31" t="s">
        <v>308</v>
      </c>
      <c r="D893" s="32" t="s">
        <v>624</v>
      </c>
      <c r="E893" s="31" t="s">
        <v>130</v>
      </c>
      <c r="F893" s="83">
        <f t="shared" si="137"/>
        <v>0</v>
      </c>
      <c r="G893" s="83">
        <f t="shared" si="137"/>
        <v>0</v>
      </c>
      <c r="H893" s="258" t="e">
        <f t="shared" si="132"/>
        <v>#DIV/0!</v>
      </c>
      <c r="I893" s="124"/>
      <c r="J893" s="124"/>
      <c r="K893" s="124"/>
      <c r="L893" s="125"/>
      <c r="M893" s="125"/>
    </row>
    <row r="894" spans="1:13" s="28" customFormat="1" hidden="1" x14ac:dyDescent="0.2">
      <c r="A894" s="43" t="s">
        <v>50</v>
      </c>
      <c r="B894" s="31" t="s">
        <v>619</v>
      </c>
      <c r="C894" s="31" t="s">
        <v>308</v>
      </c>
      <c r="D894" s="32" t="s">
        <v>624</v>
      </c>
      <c r="E894" s="31" t="s">
        <v>277</v>
      </c>
      <c r="F894" s="83"/>
      <c r="G894" s="83"/>
      <c r="H894" s="258" t="e">
        <f t="shared" si="132"/>
        <v>#DIV/0!</v>
      </c>
      <c r="I894" s="124"/>
      <c r="J894" s="124"/>
      <c r="K894" s="124"/>
      <c r="L894" s="125"/>
      <c r="M894" s="125"/>
    </row>
    <row r="895" spans="1:13" s="28" customFormat="1" hidden="1" x14ac:dyDescent="0.2">
      <c r="A895" s="43"/>
      <c r="B895" s="31" t="s">
        <v>8</v>
      </c>
      <c r="C895" s="31" t="s">
        <v>134</v>
      </c>
      <c r="D895" s="31" t="s">
        <v>189</v>
      </c>
      <c r="E895" s="31"/>
      <c r="F895" s="83"/>
      <c r="G895" s="83"/>
      <c r="H895" s="258" t="e">
        <f t="shared" si="132"/>
        <v>#DIV/0!</v>
      </c>
      <c r="I895" s="124"/>
      <c r="J895" s="124"/>
      <c r="K895" s="124"/>
      <c r="L895" s="125"/>
      <c r="M895" s="125"/>
    </row>
    <row r="896" spans="1:13" s="98" customFormat="1" x14ac:dyDescent="0.2">
      <c r="A896" s="23" t="s">
        <v>357</v>
      </c>
      <c r="B896" s="15" t="s">
        <v>619</v>
      </c>
      <c r="C896" s="15" t="s">
        <v>358</v>
      </c>
      <c r="D896" s="15"/>
      <c r="E896" s="32"/>
      <c r="F896" s="25">
        <f>F897</f>
        <v>576</v>
      </c>
      <c r="G896" s="25">
        <f>G897</f>
        <v>0</v>
      </c>
      <c r="H896" s="258">
        <f t="shared" si="132"/>
        <v>0</v>
      </c>
      <c r="I896" s="124"/>
      <c r="J896" s="124"/>
      <c r="K896" s="124"/>
      <c r="L896" s="125"/>
      <c r="M896" s="125"/>
    </row>
    <row r="897" spans="1:13" s="72" customFormat="1" x14ac:dyDescent="0.2">
      <c r="A897" s="154" t="s">
        <v>380</v>
      </c>
      <c r="B897" s="121" t="s">
        <v>8</v>
      </c>
      <c r="C897" s="121" t="s">
        <v>381</v>
      </c>
      <c r="D897" s="121"/>
      <c r="E897" s="122"/>
      <c r="F897" s="50">
        <f>F898+F904</f>
        <v>576</v>
      </c>
      <c r="G897" s="50">
        <f>G898+G904</f>
        <v>0</v>
      </c>
      <c r="H897" s="258">
        <f t="shared" si="132"/>
        <v>0</v>
      </c>
      <c r="I897" s="124"/>
      <c r="J897" s="124"/>
      <c r="K897" s="124"/>
      <c r="L897" s="125"/>
      <c r="M897" s="125"/>
    </row>
    <row r="898" spans="1:13" s="60" customFormat="1" ht="47.25" x14ac:dyDescent="0.2">
      <c r="A898" s="127" t="s">
        <v>391</v>
      </c>
      <c r="B898" s="58" t="s">
        <v>619</v>
      </c>
      <c r="C898" s="58" t="s">
        <v>381</v>
      </c>
      <c r="D898" s="53" t="s">
        <v>392</v>
      </c>
      <c r="E898" s="53"/>
      <c r="F898" s="65">
        <f t="shared" ref="F898:G902" si="138">F899</f>
        <v>494</v>
      </c>
      <c r="G898" s="65">
        <f t="shared" si="138"/>
        <v>0</v>
      </c>
      <c r="H898" s="258">
        <f t="shared" si="132"/>
        <v>0</v>
      </c>
      <c r="I898" s="55"/>
      <c r="J898" s="55"/>
      <c r="K898" s="55"/>
      <c r="L898" s="217"/>
      <c r="M898" s="217"/>
    </row>
    <row r="899" spans="1:13" s="56" customFormat="1" ht="31.5" x14ac:dyDescent="0.2">
      <c r="A899" s="103" t="s">
        <v>393</v>
      </c>
      <c r="B899" s="58" t="s">
        <v>619</v>
      </c>
      <c r="C899" s="58" t="s">
        <v>381</v>
      </c>
      <c r="D899" s="58" t="s">
        <v>394</v>
      </c>
      <c r="E899" s="58"/>
      <c r="F899" s="82">
        <f t="shared" si="138"/>
        <v>494</v>
      </c>
      <c r="G899" s="82">
        <f t="shared" si="138"/>
        <v>0</v>
      </c>
      <c r="H899" s="258">
        <f t="shared" si="132"/>
        <v>0</v>
      </c>
      <c r="I899" s="124"/>
      <c r="J899" s="124"/>
      <c r="K899" s="124"/>
      <c r="L899" s="125"/>
      <c r="M899" s="125"/>
    </row>
    <row r="900" spans="1:13" s="56" customFormat="1" ht="47.25" x14ac:dyDescent="0.2">
      <c r="A900" s="103" t="s">
        <v>395</v>
      </c>
      <c r="B900" s="58" t="s">
        <v>619</v>
      </c>
      <c r="C900" s="58" t="s">
        <v>381</v>
      </c>
      <c r="D900" s="58" t="s">
        <v>396</v>
      </c>
      <c r="E900" s="58"/>
      <c r="F900" s="82">
        <f t="shared" si="138"/>
        <v>494</v>
      </c>
      <c r="G900" s="82">
        <f t="shared" si="138"/>
        <v>0</v>
      </c>
      <c r="H900" s="258">
        <f t="shared" si="132"/>
        <v>0</v>
      </c>
      <c r="I900" s="124"/>
      <c r="J900" s="124"/>
      <c r="K900" s="124"/>
      <c r="L900" s="125"/>
      <c r="M900" s="125"/>
    </row>
    <row r="901" spans="1:13" s="56" customFormat="1" ht="63" x14ac:dyDescent="0.2">
      <c r="A901" s="103" t="s">
        <v>397</v>
      </c>
      <c r="B901" s="58" t="s">
        <v>619</v>
      </c>
      <c r="C901" s="58" t="s">
        <v>381</v>
      </c>
      <c r="D901" s="58" t="s">
        <v>398</v>
      </c>
      <c r="E901" s="58"/>
      <c r="F901" s="82">
        <f t="shared" si="138"/>
        <v>494</v>
      </c>
      <c r="G901" s="82">
        <f t="shared" si="138"/>
        <v>0</v>
      </c>
      <c r="H901" s="258">
        <f t="shared" si="132"/>
        <v>0</v>
      </c>
      <c r="I901" s="124"/>
      <c r="J901" s="124"/>
      <c r="K901" s="124"/>
      <c r="L901" s="125"/>
      <c r="M901" s="125"/>
    </row>
    <row r="902" spans="1:13" s="56" customFormat="1" ht="31.5" x14ac:dyDescent="0.2">
      <c r="A902" s="57" t="s">
        <v>25</v>
      </c>
      <c r="B902" s="58" t="s">
        <v>619</v>
      </c>
      <c r="C902" s="58" t="s">
        <v>381</v>
      </c>
      <c r="D902" s="58" t="s">
        <v>398</v>
      </c>
      <c r="E902" s="58" t="s">
        <v>36</v>
      </c>
      <c r="F902" s="82">
        <f t="shared" si="138"/>
        <v>494</v>
      </c>
      <c r="G902" s="82">
        <f t="shared" si="138"/>
        <v>0</v>
      </c>
      <c r="H902" s="258">
        <f t="shared" si="132"/>
        <v>0</v>
      </c>
      <c r="I902" s="124"/>
      <c r="J902" s="124"/>
      <c r="K902" s="124"/>
      <c r="L902" s="125"/>
      <c r="M902" s="125"/>
    </row>
    <row r="903" spans="1:13" s="56" customFormat="1" ht="31.5" x14ac:dyDescent="0.2">
      <c r="A903" s="57" t="s">
        <v>26</v>
      </c>
      <c r="B903" s="58" t="s">
        <v>619</v>
      </c>
      <c r="C903" s="58" t="s">
        <v>381</v>
      </c>
      <c r="D903" s="58" t="s">
        <v>398</v>
      </c>
      <c r="E903" s="58" t="s">
        <v>37</v>
      </c>
      <c r="F903" s="82">
        <v>494</v>
      </c>
      <c r="G903" s="82">
        <v>0</v>
      </c>
      <c r="H903" s="258">
        <f t="shared" si="132"/>
        <v>0</v>
      </c>
      <c r="I903" s="124"/>
      <c r="J903" s="124"/>
      <c r="K903" s="124"/>
      <c r="L903" s="125"/>
      <c r="M903" s="125"/>
    </row>
    <row r="904" spans="1:13" s="72" customFormat="1" x14ac:dyDescent="0.2">
      <c r="A904" s="127" t="s">
        <v>197</v>
      </c>
      <c r="B904" s="53" t="s">
        <v>8</v>
      </c>
      <c r="C904" s="53" t="s">
        <v>381</v>
      </c>
      <c r="D904" s="53" t="s">
        <v>198</v>
      </c>
      <c r="E904" s="54"/>
      <c r="F904" s="48">
        <f>F905</f>
        <v>82</v>
      </c>
      <c r="G904" s="48">
        <f>G905</f>
        <v>0</v>
      </c>
      <c r="H904" s="258">
        <f t="shared" si="132"/>
        <v>0</v>
      </c>
      <c r="I904" s="124"/>
      <c r="J904" s="124"/>
      <c r="K904" s="124"/>
      <c r="L904" s="125"/>
      <c r="M904" s="125"/>
    </row>
    <row r="905" spans="1:13" s="45" customFormat="1" ht="47.25" x14ac:dyDescent="0.2">
      <c r="A905" s="105" t="s">
        <v>423</v>
      </c>
      <c r="B905" s="40" t="s">
        <v>8</v>
      </c>
      <c r="C905" s="40" t="s">
        <v>381</v>
      </c>
      <c r="D905" s="162" t="s">
        <v>424</v>
      </c>
      <c r="E905" s="106"/>
      <c r="F905" s="129">
        <f>F908</f>
        <v>82</v>
      </c>
      <c r="G905" s="129">
        <f>G908</f>
        <v>0</v>
      </c>
      <c r="H905" s="258">
        <f t="shared" si="132"/>
        <v>0</v>
      </c>
      <c r="I905" s="124"/>
      <c r="J905" s="124"/>
      <c r="K905" s="124"/>
      <c r="L905" s="125"/>
      <c r="M905" s="125"/>
    </row>
    <row r="906" spans="1:13" s="45" customFormat="1" ht="31.5" hidden="1" x14ac:dyDescent="0.2">
      <c r="A906" s="57" t="s">
        <v>25</v>
      </c>
      <c r="B906" s="40" t="s">
        <v>8</v>
      </c>
      <c r="C906" s="40" t="s">
        <v>381</v>
      </c>
      <c r="D906" s="31" t="s">
        <v>424</v>
      </c>
      <c r="E906" s="32">
        <v>200</v>
      </c>
      <c r="F906" s="29">
        <f>F907</f>
        <v>0</v>
      </c>
      <c r="G906" s="29">
        <f>G907</f>
        <v>0</v>
      </c>
      <c r="H906" s="258" t="e">
        <f t="shared" si="132"/>
        <v>#DIV/0!</v>
      </c>
      <c r="I906" s="124"/>
      <c r="J906" s="124"/>
      <c r="K906" s="124"/>
      <c r="L906" s="125"/>
      <c r="M906" s="125"/>
    </row>
    <row r="907" spans="1:13" s="45" customFormat="1" ht="31.5" hidden="1" x14ac:dyDescent="0.2">
      <c r="A907" s="57" t="s">
        <v>26</v>
      </c>
      <c r="B907" s="40" t="s">
        <v>8</v>
      </c>
      <c r="C907" s="40" t="s">
        <v>381</v>
      </c>
      <c r="D907" s="31" t="s">
        <v>424</v>
      </c>
      <c r="E907" s="32">
        <v>240</v>
      </c>
      <c r="F907" s="29">
        <v>0</v>
      </c>
      <c r="G907" s="29">
        <v>0</v>
      </c>
      <c r="H907" s="258" t="e">
        <f t="shared" si="132"/>
        <v>#DIV/0!</v>
      </c>
      <c r="I907" s="124"/>
      <c r="J907" s="124"/>
      <c r="K907" s="124"/>
      <c r="L907" s="125"/>
      <c r="M907" s="125"/>
    </row>
    <row r="908" spans="1:13" s="72" customFormat="1" ht="31.5" x14ac:dyDescent="0.2">
      <c r="A908" s="57" t="s">
        <v>425</v>
      </c>
      <c r="B908" s="58" t="s">
        <v>8</v>
      </c>
      <c r="C908" s="58" t="s">
        <v>381</v>
      </c>
      <c r="D908" s="58" t="s">
        <v>426</v>
      </c>
      <c r="E908" s="58"/>
      <c r="F908" s="49">
        <f t="shared" ref="F908:G910" si="139">F909</f>
        <v>82</v>
      </c>
      <c r="G908" s="49">
        <f t="shared" si="139"/>
        <v>0</v>
      </c>
      <c r="H908" s="258">
        <f t="shared" si="132"/>
        <v>0</v>
      </c>
      <c r="I908" s="124"/>
      <c r="J908" s="124"/>
      <c r="K908" s="124"/>
      <c r="L908" s="125"/>
      <c r="M908" s="125"/>
    </row>
    <row r="909" spans="1:13" s="45" customFormat="1" ht="63" x14ac:dyDescent="0.2">
      <c r="A909" s="157" t="s">
        <v>427</v>
      </c>
      <c r="B909" s="31" t="s">
        <v>8</v>
      </c>
      <c r="C909" s="31" t="s">
        <v>381</v>
      </c>
      <c r="D909" s="31" t="s">
        <v>428</v>
      </c>
      <c r="E909" s="32"/>
      <c r="F909" s="29">
        <f t="shared" si="139"/>
        <v>82</v>
      </c>
      <c r="G909" s="29">
        <f t="shared" si="139"/>
        <v>0</v>
      </c>
      <c r="H909" s="258">
        <f t="shared" si="132"/>
        <v>0</v>
      </c>
      <c r="I909" s="124"/>
      <c r="J909" s="124"/>
      <c r="K909" s="124"/>
      <c r="L909" s="125"/>
      <c r="M909" s="125"/>
    </row>
    <row r="910" spans="1:13" s="45" customFormat="1" ht="31.5" x14ac:dyDescent="0.2">
      <c r="A910" s="43" t="s">
        <v>25</v>
      </c>
      <c r="B910" s="31" t="s">
        <v>8</v>
      </c>
      <c r="C910" s="31" t="s">
        <v>381</v>
      </c>
      <c r="D910" s="31" t="s">
        <v>428</v>
      </c>
      <c r="E910" s="32">
        <v>200</v>
      </c>
      <c r="F910" s="29">
        <f t="shared" si="139"/>
        <v>82</v>
      </c>
      <c r="G910" s="29">
        <f t="shared" si="139"/>
        <v>0</v>
      </c>
      <c r="H910" s="258">
        <f t="shared" si="132"/>
        <v>0</v>
      </c>
      <c r="I910" s="124"/>
      <c r="J910" s="124"/>
      <c r="K910" s="124"/>
      <c r="L910" s="125"/>
      <c r="M910" s="125"/>
    </row>
    <row r="911" spans="1:13" s="45" customFormat="1" ht="31.5" x14ac:dyDescent="0.2">
      <c r="A911" s="43" t="s">
        <v>26</v>
      </c>
      <c r="B911" s="31" t="s">
        <v>8</v>
      </c>
      <c r="C911" s="31" t="s">
        <v>381</v>
      </c>
      <c r="D911" s="31" t="s">
        <v>428</v>
      </c>
      <c r="E911" s="32">
        <v>240</v>
      </c>
      <c r="F911" s="29">
        <v>82</v>
      </c>
      <c r="G911" s="29">
        <v>0</v>
      </c>
      <c r="H911" s="258">
        <f t="shared" si="132"/>
        <v>0</v>
      </c>
      <c r="I911" s="124"/>
      <c r="J911" s="124"/>
      <c r="K911" s="124"/>
      <c r="L911" s="125"/>
      <c r="M911" s="125"/>
    </row>
    <row r="912" spans="1:13" s="45" customFormat="1" x14ac:dyDescent="0.2">
      <c r="A912" s="218" t="s">
        <v>465</v>
      </c>
      <c r="B912" s="15" t="s">
        <v>619</v>
      </c>
      <c r="C912" s="15" t="s">
        <v>466</v>
      </c>
      <c r="D912" s="15"/>
      <c r="E912" s="24"/>
      <c r="F912" s="80">
        <f>F913+F993+F1202+F1286+F1320</f>
        <v>369605.4</v>
      </c>
      <c r="G912" s="80">
        <f>G913+G993+G1202+G1286+G1320</f>
        <v>216914.20000000004</v>
      </c>
      <c r="H912" s="258">
        <f t="shared" si="132"/>
        <v>0.58688049471138681</v>
      </c>
      <c r="I912" s="124"/>
      <c r="J912" s="124"/>
      <c r="K912" s="124"/>
      <c r="L912" s="125"/>
      <c r="M912" s="125"/>
    </row>
    <row r="913" spans="1:13" s="45" customFormat="1" x14ac:dyDescent="0.2">
      <c r="A913" s="33" t="s">
        <v>467</v>
      </c>
      <c r="B913" s="34" t="s">
        <v>619</v>
      </c>
      <c r="C913" s="34" t="s">
        <v>468</v>
      </c>
      <c r="D913" s="34"/>
      <c r="E913" s="41"/>
      <c r="F913" s="35">
        <f>F915+F918+F956+F960+F971+F986</f>
        <v>63916.80000000001</v>
      </c>
      <c r="G913" s="35">
        <f>G915+G918+G956+G960+G971+G986-0.2</f>
        <v>31142.600000000002</v>
      </c>
      <c r="H913" s="258">
        <f t="shared" si="132"/>
        <v>0.48723653249223986</v>
      </c>
      <c r="I913" s="124"/>
      <c r="J913" s="124"/>
      <c r="K913" s="124"/>
      <c r="L913" s="125"/>
      <c r="M913" s="125"/>
    </row>
    <row r="914" spans="1:13" s="72" customFormat="1" hidden="1" x14ac:dyDescent="0.2">
      <c r="A914" s="127" t="s">
        <v>67</v>
      </c>
      <c r="B914" s="53" t="s">
        <v>619</v>
      </c>
      <c r="C914" s="53" t="s">
        <v>468</v>
      </c>
      <c r="D914" s="53" t="s">
        <v>68</v>
      </c>
      <c r="E914" s="54"/>
      <c r="F914" s="48">
        <f t="shared" ref="F914:G916" si="140">F915</f>
        <v>0</v>
      </c>
      <c r="G914" s="48">
        <f t="shared" si="140"/>
        <v>0</v>
      </c>
      <c r="H914" s="258" t="e">
        <f t="shared" si="132"/>
        <v>#DIV/0!</v>
      </c>
      <c r="I914" s="124"/>
      <c r="J914" s="124"/>
      <c r="K914" s="124"/>
      <c r="L914" s="125"/>
      <c r="M914" s="125"/>
    </row>
    <row r="915" spans="1:13" s="72" customFormat="1" ht="31.5" hidden="1" x14ac:dyDescent="0.2">
      <c r="A915" s="157" t="s">
        <v>154</v>
      </c>
      <c r="B915" s="58" t="s">
        <v>619</v>
      </c>
      <c r="C915" s="58" t="s">
        <v>468</v>
      </c>
      <c r="D915" s="58" t="s">
        <v>71</v>
      </c>
      <c r="E915" s="122"/>
      <c r="F915" s="49">
        <f t="shared" si="140"/>
        <v>0</v>
      </c>
      <c r="G915" s="49">
        <f t="shared" si="140"/>
        <v>0</v>
      </c>
      <c r="H915" s="258" t="e">
        <f t="shared" si="132"/>
        <v>#DIV/0!</v>
      </c>
      <c r="I915" s="124"/>
      <c r="J915" s="124"/>
      <c r="K915" s="124"/>
      <c r="L915" s="125"/>
      <c r="M915" s="125"/>
    </row>
    <row r="916" spans="1:13" s="72" customFormat="1" ht="31.5" hidden="1" x14ac:dyDescent="0.2">
      <c r="A916" s="57" t="s">
        <v>25</v>
      </c>
      <c r="B916" s="58" t="s">
        <v>619</v>
      </c>
      <c r="C916" s="58" t="s">
        <v>468</v>
      </c>
      <c r="D916" s="58" t="s">
        <v>71</v>
      </c>
      <c r="E916" s="58" t="s">
        <v>36</v>
      </c>
      <c r="F916" s="49">
        <f t="shared" si="140"/>
        <v>0</v>
      </c>
      <c r="G916" s="49">
        <f t="shared" si="140"/>
        <v>0</v>
      </c>
      <c r="H916" s="258" t="e">
        <f t="shared" si="132"/>
        <v>#DIV/0!</v>
      </c>
      <c r="I916" s="124"/>
      <c r="J916" s="124"/>
      <c r="K916" s="124"/>
      <c r="L916" s="125"/>
      <c r="M916" s="125"/>
    </row>
    <row r="917" spans="1:13" s="72" customFormat="1" ht="31.5" hidden="1" x14ac:dyDescent="0.2">
      <c r="A917" s="57" t="s">
        <v>26</v>
      </c>
      <c r="B917" s="58" t="s">
        <v>619</v>
      </c>
      <c r="C917" s="58" t="s">
        <v>468</v>
      </c>
      <c r="D917" s="58" t="s">
        <v>71</v>
      </c>
      <c r="E917" s="58" t="s">
        <v>37</v>
      </c>
      <c r="F917" s="49"/>
      <c r="G917" s="49"/>
      <c r="H917" s="258" t="e">
        <f t="shared" si="132"/>
        <v>#DIV/0!</v>
      </c>
      <c r="I917" s="124"/>
      <c r="J917" s="124"/>
      <c r="K917" s="124"/>
      <c r="L917" s="125"/>
      <c r="M917" s="125"/>
    </row>
    <row r="918" spans="1:13" s="113" customFormat="1" ht="31.5" x14ac:dyDescent="0.2">
      <c r="A918" s="92" t="s">
        <v>625</v>
      </c>
      <c r="B918" s="93" t="s">
        <v>619</v>
      </c>
      <c r="C918" s="93" t="s">
        <v>468</v>
      </c>
      <c r="D918" s="94" t="s">
        <v>470</v>
      </c>
      <c r="E918" s="93"/>
      <c r="F918" s="95">
        <f>F919</f>
        <v>39106.600000000013</v>
      </c>
      <c r="G918" s="95">
        <f>G919</f>
        <v>18976.800000000003</v>
      </c>
      <c r="H918" s="258">
        <f t="shared" si="132"/>
        <v>0.48525824285414731</v>
      </c>
      <c r="I918" s="124"/>
      <c r="J918" s="124"/>
      <c r="K918" s="124"/>
      <c r="L918" s="125"/>
      <c r="M918" s="125"/>
    </row>
    <row r="919" spans="1:13" s="102" customFormat="1" ht="31.5" x14ac:dyDescent="0.2">
      <c r="A919" s="143" t="s">
        <v>626</v>
      </c>
      <c r="B919" s="144" t="s">
        <v>619</v>
      </c>
      <c r="C919" s="144" t="s">
        <v>468</v>
      </c>
      <c r="D919" s="214" t="s">
        <v>627</v>
      </c>
      <c r="E919" s="144"/>
      <c r="F919" s="173">
        <f>F920+F952</f>
        <v>39106.600000000013</v>
      </c>
      <c r="G919" s="173">
        <f>G920+G952</f>
        <v>18976.800000000003</v>
      </c>
      <c r="H919" s="258">
        <f t="shared" ref="H919:H982" si="141">G919/F919</f>
        <v>0.48525824285414731</v>
      </c>
      <c r="I919" s="124"/>
      <c r="J919" s="124"/>
      <c r="K919" s="124"/>
      <c r="L919" s="125"/>
      <c r="M919" s="125"/>
    </row>
    <row r="920" spans="1:13" s="96" customFormat="1" ht="94.15" customHeight="1" x14ac:dyDescent="0.2">
      <c r="A920" s="196" t="s">
        <v>628</v>
      </c>
      <c r="B920" s="100" t="s">
        <v>619</v>
      </c>
      <c r="C920" s="100" t="s">
        <v>468</v>
      </c>
      <c r="D920" s="101" t="s">
        <v>629</v>
      </c>
      <c r="E920" s="100"/>
      <c r="F920" s="97">
        <f>F921+F926+F936+F946+F953</f>
        <v>39106.600000000013</v>
      </c>
      <c r="G920" s="97">
        <f>G921+G926+G936+G946+G953</f>
        <v>18976.800000000003</v>
      </c>
      <c r="H920" s="258">
        <f t="shared" si="141"/>
        <v>0.48525824285414731</v>
      </c>
      <c r="I920" s="124"/>
      <c r="J920" s="124"/>
      <c r="K920" s="124"/>
      <c r="L920" s="125"/>
      <c r="M920" s="125"/>
    </row>
    <row r="921" spans="1:13" s="96" customFormat="1" ht="110.25" x14ac:dyDescent="0.2">
      <c r="A921" s="196" t="s">
        <v>630</v>
      </c>
      <c r="B921" s="31" t="s">
        <v>619</v>
      </c>
      <c r="C921" s="31" t="s">
        <v>468</v>
      </c>
      <c r="D921" s="32" t="s">
        <v>631</v>
      </c>
      <c r="E921" s="100"/>
      <c r="F921" s="97">
        <f>F922+F924</f>
        <v>84.8</v>
      </c>
      <c r="G921" s="97">
        <f>G922+G924</f>
        <v>0</v>
      </c>
      <c r="H921" s="258">
        <f t="shared" si="141"/>
        <v>0</v>
      </c>
      <c r="I921" s="124"/>
      <c r="J921" s="124"/>
      <c r="K921" s="124"/>
      <c r="L921" s="125"/>
      <c r="M921" s="125"/>
    </row>
    <row r="922" spans="1:13" s="96" customFormat="1" ht="78.75" x14ac:dyDescent="0.2">
      <c r="A922" s="117" t="s">
        <v>23</v>
      </c>
      <c r="B922" s="31" t="s">
        <v>619</v>
      </c>
      <c r="C922" s="31" t="s">
        <v>468</v>
      </c>
      <c r="D922" s="32" t="s">
        <v>631</v>
      </c>
      <c r="E922" s="100" t="s">
        <v>43</v>
      </c>
      <c r="F922" s="97">
        <f>F923</f>
        <v>84.8</v>
      </c>
      <c r="G922" s="97">
        <f>G923</f>
        <v>0</v>
      </c>
      <c r="H922" s="258">
        <f t="shared" si="141"/>
        <v>0</v>
      </c>
      <c r="I922" s="124"/>
      <c r="J922" s="124"/>
      <c r="K922" s="124"/>
      <c r="L922" s="125"/>
      <c r="M922" s="125"/>
    </row>
    <row r="923" spans="1:13" s="96" customFormat="1" x14ac:dyDescent="0.2">
      <c r="A923" s="43" t="s">
        <v>142</v>
      </c>
      <c r="B923" s="31" t="s">
        <v>619</v>
      </c>
      <c r="C923" s="31" t="s">
        <v>468</v>
      </c>
      <c r="D923" s="32" t="s">
        <v>631</v>
      </c>
      <c r="E923" s="100" t="s">
        <v>143</v>
      </c>
      <c r="F923" s="97">
        <v>84.8</v>
      </c>
      <c r="G923" s="97">
        <v>0</v>
      </c>
      <c r="H923" s="258">
        <f t="shared" si="141"/>
        <v>0</v>
      </c>
      <c r="I923" s="124"/>
      <c r="J923" s="124"/>
      <c r="K923" s="124"/>
      <c r="L923" s="125"/>
      <c r="M923" s="125"/>
    </row>
    <row r="924" spans="1:13" s="96" customFormat="1" hidden="1" x14ac:dyDescent="0.2">
      <c r="A924" s="81" t="s">
        <v>29</v>
      </c>
      <c r="B924" s="31" t="s">
        <v>619</v>
      </c>
      <c r="C924" s="31" t="s">
        <v>468</v>
      </c>
      <c r="D924" s="32" t="s">
        <v>631</v>
      </c>
      <c r="E924" s="100" t="s">
        <v>130</v>
      </c>
      <c r="F924" s="97">
        <f>F925</f>
        <v>0</v>
      </c>
      <c r="G924" s="97">
        <f>G925</f>
        <v>0</v>
      </c>
      <c r="H924" s="258" t="e">
        <f t="shared" si="141"/>
        <v>#DIV/0!</v>
      </c>
      <c r="I924" s="124"/>
      <c r="J924" s="124"/>
      <c r="K924" s="124"/>
      <c r="L924" s="125"/>
      <c r="M924" s="125"/>
    </row>
    <row r="925" spans="1:13" s="96" customFormat="1" hidden="1" x14ac:dyDescent="0.2">
      <c r="A925" s="81" t="s">
        <v>50</v>
      </c>
      <c r="B925" s="31" t="s">
        <v>619</v>
      </c>
      <c r="C925" s="31" t="s">
        <v>468</v>
      </c>
      <c r="D925" s="32" t="s">
        <v>631</v>
      </c>
      <c r="E925" s="100" t="s">
        <v>277</v>
      </c>
      <c r="F925" s="97"/>
      <c r="G925" s="97"/>
      <c r="H925" s="258" t="e">
        <f t="shared" si="141"/>
        <v>#DIV/0!</v>
      </c>
      <c r="I925" s="124"/>
      <c r="J925" s="124"/>
      <c r="K925" s="124"/>
      <c r="L925" s="125"/>
      <c r="M925" s="125"/>
    </row>
    <row r="926" spans="1:13" s="5" customFormat="1" ht="63" x14ac:dyDescent="0.2">
      <c r="A926" s="30" t="s">
        <v>632</v>
      </c>
      <c r="B926" s="31" t="s">
        <v>619</v>
      </c>
      <c r="C926" s="31" t="s">
        <v>468</v>
      </c>
      <c r="D926" s="32" t="s">
        <v>633</v>
      </c>
      <c r="E926" s="31"/>
      <c r="F926" s="29">
        <f>F927+F929</f>
        <v>38565.300000000003</v>
      </c>
      <c r="G926" s="29">
        <f>G927+G929</f>
        <v>18771.5</v>
      </c>
      <c r="H926" s="258">
        <f t="shared" si="141"/>
        <v>0.48674585702691275</v>
      </c>
      <c r="I926" s="124"/>
      <c r="J926" s="124"/>
      <c r="K926" s="124"/>
      <c r="L926" s="125"/>
      <c r="M926" s="125"/>
    </row>
    <row r="927" spans="1:13" s="96" customFormat="1" ht="78.75" x14ac:dyDescent="0.2">
      <c r="A927" s="117" t="s">
        <v>23</v>
      </c>
      <c r="B927" s="100" t="s">
        <v>619</v>
      </c>
      <c r="C927" s="100" t="s">
        <v>468</v>
      </c>
      <c r="D927" s="101" t="s">
        <v>633</v>
      </c>
      <c r="E927" s="100" t="s">
        <v>43</v>
      </c>
      <c r="F927" s="97">
        <f>F928</f>
        <v>36002.300000000003</v>
      </c>
      <c r="G927" s="97">
        <f>G928</f>
        <v>17504.900000000001</v>
      </c>
      <c r="H927" s="258">
        <f t="shared" si="141"/>
        <v>0.48621615841210147</v>
      </c>
      <c r="I927" s="124"/>
      <c r="J927" s="124"/>
      <c r="K927" s="124"/>
      <c r="L927" s="125"/>
      <c r="M927" s="125"/>
    </row>
    <row r="928" spans="1:13" s="5" customFormat="1" x14ac:dyDescent="0.2">
      <c r="A928" s="43" t="s">
        <v>142</v>
      </c>
      <c r="B928" s="31" t="s">
        <v>619</v>
      </c>
      <c r="C928" s="31" t="s">
        <v>468</v>
      </c>
      <c r="D928" s="32" t="s">
        <v>633</v>
      </c>
      <c r="E928" s="31" t="s">
        <v>143</v>
      </c>
      <c r="F928" s="29">
        <v>36002.300000000003</v>
      </c>
      <c r="G928" s="29">
        <f>13584.5+4.2+3916.2</f>
        <v>17504.900000000001</v>
      </c>
      <c r="H928" s="258">
        <f t="shared" si="141"/>
        <v>0.48621615841210147</v>
      </c>
      <c r="I928" s="124"/>
      <c r="J928" s="124"/>
      <c r="K928" s="124"/>
      <c r="L928" s="125"/>
      <c r="M928" s="125"/>
    </row>
    <row r="929" spans="1:13" s="5" customFormat="1" ht="31.5" x14ac:dyDescent="0.2">
      <c r="A929" s="43" t="s">
        <v>25</v>
      </c>
      <c r="B929" s="31" t="s">
        <v>619</v>
      </c>
      <c r="C929" s="31" t="s">
        <v>468</v>
      </c>
      <c r="D929" s="32" t="s">
        <v>633</v>
      </c>
      <c r="E929" s="31" t="s">
        <v>36</v>
      </c>
      <c r="F929" s="29">
        <f>F930</f>
        <v>2563</v>
      </c>
      <c r="G929" s="29">
        <f>G930</f>
        <v>1266.5999999999999</v>
      </c>
      <c r="H929" s="258">
        <f t="shared" si="141"/>
        <v>0.49418650019508387</v>
      </c>
      <c r="I929" s="124"/>
      <c r="J929" s="124"/>
      <c r="K929" s="124"/>
      <c r="L929" s="125"/>
      <c r="M929" s="125"/>
    </row>
    <row r="930" spans="1:13" s="5" customFormat="1" ht="31.5" x14ac:dyDescent="0.2">
      <c r="A930" s="43" t="s">
        <v>26</v>
      </c>
      <c r="B930" s="31" t="s">
        <v>619</v>
      </c>
      <c r="C930" s="31" t="s">
        <v>468</v>
      </c>
      <c r="D930" s="32" t="s">
        <v>633</v>
      </c>
      <c r="E930" s="31" t="s">
        <v>37</v>
      </c>
      <c r="F930" s="29">
        <v>2563</v>
      </c>
      <c r="G930" s="29">
        <v>1266.5999999999999</v>
      </c>
      <c r="H930" s="258">
        <f t="shared" si="141"/>
        <v>0.49418650019508387</v>
      </c>
      <c r="I930" s="124"/>
      <c r="J930" s="124"/>
      <c r="K930" s="124"/>
      <c r="L930" s="125"/>
      <c r="M930" s="125"/>
    </row>
    <row r="931" spans="1:13" s="5" customFormat="1" ht="31.5" hidden="1" x14ac:dyDescent="0.2">
      <c r="A931" s="30" t="s">
        <v>150</v>
      </c>
      <c r="B931" s="31" t="s">
        <v>619</v>
      </c>
      <c r="C931" s="31" t="s">
        <v>468</v>
      </c>
      <c r="D931" s="32" t="s">
        <v>633</v>
      </c>
      <c r="E931" s="31" t="s">
        <v>151</v>
      </c>
      <c r="F931" s="29">
        <f>F932</f>
        <v>0</v>
      </c>
      <c r="G931" s="29">
        <f>G932</f>
        <v>0</v>
      </c>
      <c r="H931" s="258" t="e">
        <f t="shared" si="141"/>
        <v>#DIV/0!</v>
      </c>
      <c r="I931" s="124"/>
      <c r="J931" s="124"/>
      <c r="K931" s="124"/>
      <c r="L931" s="125"/>
      <c r="M931" s="125"/>
    </row>
    <row r="932" spans="1:13" s="5" customFormat="1" hidden="1" x14ac:dyDescent="0.2">
      <c r="A932" s="30" t="s">
        <v>152</v>
      </c>
      <c r="B932" s="31" t="s">
        <v>619</v>
      </c>
      <c r="C932" s="31" t="s">
        <v>468</v>
      </c>
      <c r="D932" s="32" t="s">
        <v>633</v>
      </c>
      <c r="E932" s="31" t="s">
        <v>153</v>
      </c>
      <c r="F932" s="29"/>
      <c r="G932" s="29"/>
      <c r="H932" s="258" t="e">
        <f t="shared" si="141"/>
        <v>#DIV/0!</v>
      </c>
      <c r="I932" s="124"/>
      <c r="J932" s="124"/>
      <c r="K932" s="124"/>
      <c r="L932" s="125"/>
      <c r="M932" s="125"/>
    </row>
    <row r="933" spans="1:13" s="5" customFormat="1" hidden="1" x14ac:dyDescent="0.2">
      <c r="A933" s="81" t="s">
        <v>29</v>
      </c>
      <c r="B933" s="31" t="s">
        <v>619</v>
      </c>
      <c r="C933" s="31" t="s">
        <v>468</v>
      </c>
      <c r="D933" s="32" t="s">
        <v>633</v>
      </c>
      <c r="E933" s="31" t="s">
        <v>130</v>
      </c>
      <c r="F933" s="29">
        <f>F934+F935</f>
        <v>0</v>
      </c>
      <c r="G933" s="29">
        <f>G934+G935</f>
        <v>0</v>
      </c>
      <c r="H933" s="258" t="e">
        <f t="shared" si="141"/>
        <v>#DIV/0!</v>
      </c>
      <c r="I933" s="124"/>
      <c r="J933" s="124"/>
      <c r="K933" s="124"/>
      <c r="L933" s="125"/>
      <c r="M933" s="125"/>
    </row>
    <row r="934" spans="1:13" s="5" customFormat="1" hidden="1" x14ac:dyDescent="0.2">
      <c r="A934" s="81" t="s">
        <v>31</v>
      </c>
      <c r="B934" s="31" t="s">
        <v>619</v>
      </c>
      <c r="C934" s="31" t="s">
        <v>468</v>
      </c>
      <c r="D934" s="32" t="s">
        <v>633</v>
      </c>
      <c r="E934" s="31" t="s">
        <v>168</v>
      </c>
      <c r="F934" s="29"/>
      <c r="G934" s="29"/>
      <c r="H934" s="258" t="e">
        <f t="shared" si="141"/>
        <v>#DIV/0!</v>
      </c>
      <c r="I934" s="124"/>
      <c r="J934" s="124"/>
      <c r="K934" s="124"/>
      <c r="L934" s="125"/>
      <c r="M934" s="125"/>
    </row>
    <row r="935" spans="1:13" s="5" customFormat="1" hidden="1" x14ac:dyDescent="0.2">
      <c r="A935" s="81" t="s">
        <v>50</v>
      </c>
      <c r="B935" s="31" t="s">
        <v>619</v>
      </c>
      <c r="C935" s="31" t="s">
        <v>468</v>
      </c>
      <c r="D935" s="32" t="s">
        <v>633</v>
      </c>
      <c r="E935" s="31" t="s">
        <v>277</v>
      </c>
      <c r="F935" s="29">
        <f>7362.4-7362.4</f>
        <v>0</v>
      </c>
      <c r="G935" s="29">
        <f>7362.4-7362.4</f>
        <v>0</v>
      </c>
      <c r="H935" s="258" t="e">
        <f t="shared" si="141"/>
        <v>#DIV/0!</v>
      </c>
      <c r="I935" s="124"/>
      <c r="J935" s="124"/>
      <c r="K935" s="124"/>
      <c r="L935" s="125"/>
      <c r="M935" s="125"/>
    </row>
    <row r="936" spans="1:13" s="5" customFormat="1" ht="173.25" x14ac:dyDescent="0.2">
      <c r="A936" s="219" t="s">
        <v>634</v>
      </c>
      <c r="B936" s="31" t="s">
        <v>619</v>
      </c>
      <c r="C936" s="31" t="s">
        <v>468</v>
      </c>
      <c r="D936" s="32" t="s">
        <v>635</v>
      </c>
      <c r="E936" s="31"/>
      <c r="F936" s="29">
        <f>F937+F939</f>
        <v>318.8</v>
      </c>
      <c r="G936" s="29">
        <f>G937+G939</f>
        <v>160.69999999999999</v>
      </c>
      <c r="H936" s="258">
        <f t="shared" si="141"/>
        <v>0.50407779171894596</v>
      </c>
      <c r="I936" s="124"/>
      <c r="J936" s="124"/>
      <c r="K936" s="124"/>
      <c r="L936" s="125"/>
      <c r="M936" s="125"/>
    </row>
    <row r="937" spans="1:13" s="5" customFormat="1" ht="78.75" x14ac:dyDescent="0.2">
      <c r="A937" s="43" t="s">
        <v>23</v>
      </c>
      <c r="B937" s="31" t="s">
        <v>619</v>
      </c>
      <c r="C937" s="31" t="s">
        <v>468</v>
      </c>
      <c r="D937" s="32" t="s">
        <v>635</v>
      </c>
      <c r="E937" s="31" t="s">
        <v>43</v>
      </c>
      <c r="F937" s="29">
        <f>F938</f>
        <v>306.7</v>
      </c>
      <c r="G937" s="29">
        <f>G938</f>
        <v>160.69999999999999</v>
      </c>
      <c r="H937" s="258">
        <f t="shared" si="141"/>
        <v>0.52396478643625688</v>
      </c>
      <c r="I937" s="124"/>
      <c r="J937" s="124"/>
      <c r="K937" s="124"/>
      <c r="L937" s="125"/>
      <c r="M937" s="125"/>
    </row>
    <row r="938" spans="1:13" s="5" customFormat="1" x14ac:dyDescent="0.2">
      <c r="A938" s="43" t="s">
        <v>142</v>
      </c>
      <c r="B938" s="31" t="s">
        <v>619</v>
      </c>
      <c r="C938" s="31" t="s">
        <v>468</v>
      </c>
      <c r="D938" s="32" t="s">
        <v>635</v>
      </c>
      <c r="E938" s="31" t="s">
        <v>143</v>
      </c>
      <c r="F938" s="29">
        <v>306.7</v>
      </c>
      <c r="G938" s="29">
        <f>125+35.7</f>
        <v>160.69999999999999</v>
      </c>
      <c r="H938" s="258">
        <f t="shared" si="141"/>
        <v>0.52396478643625688</v>
      </c>
      <c r="I938" s="124"/>
      <c r="J938" s="124"/>
      <c r="K938" s="124"/>
      <c r="L938" s="125"/>
      <c r="M938" s="125"/>
    </row>
    <row r="939" spans="1:13" s="5" customFormat="1" ht="31.5" x14ac:dyDescent="0.2">
      <c r="A939" s="43" t="s">
        <v>25</v>
      </c>
      <c r="B939" s="31" t="s">
        <v>619</v>
      </c>
      <c r="C939" s="31" t="s">
        <v>468</v>
      </c>
      <c r="D939" s="32" t="s">
        <v>635</v>
      </c>
      <c r="E939" s="31" t="s">
        <v>36</v>
      </c>
      <c r="F939" s="29">
        <f>F940</f>
        <v>12.1</v>
      </c>
      <c r="G939" s="29">
        <f>G940</f>
        <v>0</v>
      </c>
      <c r="H939" s="258">
        <f t="shared" si="141"/>
        <v>0</v>
      </c>
      <c r="I939" s="124"/>
      <c r="J939" s="124"/>
      <c r="K939" s="124"/>
      <c r="L939" s="125"/>
      <c r="M939" s="125"/>
    </row>
    <row r="940" spans="1:13" s="5" customFormat="1" ht="31.5" x14ac:dyDescent="0.2">
      <c r="A940" s="43" t="s">
        <v>26</v>
      </c>
      <c r="B940" s="31" t="s">
        <v>619</v>
      </c>
      <c r="C940" s="31" t="s">
        <v>468</v>
      </c>
      <c r="D940" s="32" t="s">
        <v>635</v>
      </c>
      <c r="E940" s="31" t="s">
        <v>37</v>
      </c>
      <c r="F940" s="29">
        <v>12.1</v>
      </c>
      <c r="G940" s="29">
        <v>0</v>
      </c>
      <c r="H940" s="258">
        <f t="shared" si="141"/>
        <v>0</v>
      </c>
      <c r="I940" s="124"/>
      <c r="J940" s="124"/>
      <c r="K940" s="124"/>
      <c r="L940" s="125"/>
      <c r="M940" s="125"/>
    </row>
    <row r="941" spans="1:13" s="5" customFormat="1" ht="31.5" hidden="1" x14ac:dyDescent="0.2">
      <c r="A941" s="30" t="s">
        <v>150</v>
      </c>
      <c r="B941" s="31" t="s">
        <v>619</v>
      </c>
      <c r="C941" s="31" t="s">
        <v>468</v>
      </c>
      <c r="D941" s="32" t="s">
        <v>635</v>
      </c>
      <c r="E941" s="31" t="s">
        <v>151</v>
      </c>
      <c r="F941" s="29">
        <f>F942</f>
        <v>0</v>
      </c>
      <c r="G941" s="29">
        <f>G942</f>
        <v>0</v>
      </c>
      <c r="H941" s="258" t="e">
        <f t="shared" si="141"/>
        <v>#DIV/0!</v>
      </c>
      <c r="I941" s="124"/>
      <c r="J941" s="124"/>
      <c r="K941" s="124"/>
      <c r="L941" s="125"/>
      <c r="M941" s="125"/>
    </row>
    <row r="942" spans="1:13" s="5" customFormat="1" hidden="1" x14ac:dyDescent="0.2">
      <c r="A942" s="30" t="s">
        <v>152</v>
      </c>
      <c r="B942" s="31" t="s">
        <v>619</v>
      </c>
      <c r="C942" s="31" t="s">
        <v>468</v>
      </c>
      <c r="D942" s="32" t="s">
        <v>635</v>
      </c>
      <c r="E942" s="31" t="s">
        <v>153</v>
      </c>
      <c r="F942" s="29"/>
      <c r="G942" s="29"/>
      <c r="H942" s="258" t="e">
        <f t="shared" si="141"/>
        <v>#DIV/0!</v>
      </c>
      <c r="I942" s="124"/>
      <c r="J942" s="124"/>
      <c r="K942" s="124"/>
      <c r="L942" s="125"/>
      <c r="M942" s="125"/>
    </row>
    <row r="943" spans="1:13" s="5" customFormat="1" ht="78.75" hidden="1" x14ac:dyDescent="0.2">
      <c r="A943" s="30" t="s">
        <v>636</v>
      </c>
      <c r="B943" s="31" t="s">
        <v>619</v>
      </c>
      <c r="C943" s="31" t="s">
        <v>468</v>
      </c>
      <c r="D943" s="32" t="s">
        <v>637</v>
      </c>
      <c r="E943" s="31"/>
      <c r="F943" s="29">
        <f>F944</f>
        <v>0</v>
      </c>
      <c r="G943" s="29">
        <f>G944</f>
        <v>0</v>
      </c>
      <c r="H943" s="258" t="e">
        <f t="shared" si="141"/>
        <v>#DIV/0!</v>
      </c>
      <c r="I943" s="124"/>
      <c r="J943" s="124"/>
      <c r="K943" s="124"/>
      <c r="L943" s="125"/>
      <c r="M943" s="125"/>
    </row>
    <row r="944" spans="1:13" s="5" customFormat="1" ht="78.75" hidden="1" x14ac:dyDescent="0.2">
      <c r="A944" s="43" t="s">
        <v>23</v>
      </c>
      <c r="B944" s="31" t="s">
        <v>619</v>
      </c>
      <c r="C944" s="31" t="s">
        <v>468</v>
      </c>
      <c r="D944" s="32" t="s">
        <v>637</v>
      </c>
      <c r="E944" s="31" t="s">
        <v>43</v>
      </c>
      <c r="F944" s="29">
        <f>F945</f>
        <v>0</v>
      </c>
      <c r="G944" s="29">
        <f>G945</f>
        <v>0</v>
      </c>
      <c r="H944" s="258" t="e">
        <f t="shared" si="141"/>
        <v>#DIV/0!</v>
      </c>
      <c r="I944" s="124"/>
      <c r="J944" s="124"/>
      <c r="K944" s="124"/>
      <c r="L944" s="125"/>
      <c r="M944" s="125"/>
    </row>
    <row r="945" spans="1:13" s="5" customFormat="1" hidden="1" x14ac:dyDescent="0.2">
      <c r="A945" s="43" t="s">
        <v>142</v>
      </c>
      <c r="B945" s="31" t="s">
        <v>619</v>
      </c>
      <c r="C945" s="31" t="s">
        <v>468</v>
      </c>
      <c r="D945" s="32" t="s">
        <v>637</v>
      </c>
      <c r="E945" s="31" t="s">
        <v>143</v>
      </c>
      <c r="F945" s="29"/>
      <c r="G945" s="29"/>
      <c r="H945" s="258" t="e">
        <f t="shared" si="141"/>
        <v>#DIV/0!</v>
      </c>
      <c r="I945" s="124"/>
      <c r="J945" s="124"/>
      <c r="K945" s="124"/>
      <c r="L945" s="125"/>
      <c r="M945" s="125"/>
    </row>
    <row r="946" spans="1:13" s="5" customFormat="1" ht="186.6" customHeight="1" x14ac:dyDescent="0.2">
      <c r="A946" s="198" t="s">
        <v>638</v>
      </c>
      <c r="B946" s="58" t="s">
        <v>619</v>
      </c>
      <c r="C946" s="58" t="s">
        <v>468</v>
      </c>
      <c r="D946" s="59" t="s">
        <v>639</v>
      </c>
      <c r="E946" s="58"/>
      <c r="F946" s="82">
        <f>F947</f>
        <v>76.8</v>
      </c>
      <c r="G946" s="82">
        <f>G947</f>
        <v>19.2</v>
      </c>
      <c r="H946" s="258">
        <f t="shared" si="141"/>
        <v>0.25</v>
      </c>
      <c r="I946" s="124"/>
      <c r="J946" s="124"/>
      <c r="K946" s="124"/>
      <c r="L946" s="125"/>
      <c r="M946" s="125"/>
    </row>
    <row r="947" spans="1:13" s="45" customFormat="1" ht="31.5" x14ac:dyDescent="0.2">
      <c r="A947" s="57" t="s">
        <v>25</v>
      </c>
      <c r="B947" s="58" t="s">
        <v>619</v>
      </c>
      <c r="C947" s="58" t="s">
        <v>468</v>
      </c>
      <c r="D947" s="59" t="s">
        <v>639</v>
      </c>
      <c r="E947" s="58" t="s">
        <v>36</v>
      </c>
      <c r="F947" s="82">
        <f>F948</f>
        <v>76.8</v>
      </c>
      <c r="G947" s="82">
        <f>G948</f>
        <v>19.2</v>
      </c>
      <c r="H947" s="258">
        <f t="shared" si="141"/>
        <v>0.25</v>
      </c>
      <c r="I947" s="124"/>
      <c r="J947" s="124"/>
      <c r="K947" s="124"/>
      <c r="L947" s="125"/>
      <c r="M947" s="125"/>
    </row>
    <row r="948" spans="1:13" s="45" customFormat="1" ht="31.5" x14ac:dyDescent="0.2">
      <c r="A948" s="57" t="s">
        <v>26</v>
      </c>
      <c r="B948" s="58" t="s">
        <v>619</v>
      </c>
      <c r="C948" s="58" t="s">
        <v>468</v>
      </c>
      <c r="D948" s="59" t="s">
        <v>639</v>
      </c>
      <c r="E948" s="58" t="s">
        <v>37</v>
      </c>
      <c r="F948" s="82">
        <v>76.8</v>
      </c>
      <c r="G948" s="82">
        <v>19.2</v>
      </c>
      <c r="H948" s="258">
        <f t="shared" si="141"/>
        <v>0.25</v>
      </c>
      <c r="I948" s="124"/>
      <c r="J948" s="124"/>
      <c r="K948" s="124"/>
      <c r="L948" s="125"/>
      <c r="M948" s="125"/>
    </row>
    <row r="949" spans="1:13" s="45" customFormat="1" ht="110.25" hidden="1" x14ac:dyDescent="0.2">
      <c r="A949" s="220" t="s">
        <v>630</v>
      </c>
      <c r="B949" s="31" t="s">
        <v>619</v>
      </c>
      <c r="C949" s="31" t="s">
        <v>468</v>
      </c>
      <c r="D949" s="32" t="s">
        <v>640</v>
      </c>
      <c r="E949" s="31"/>
      <c r="F949" s="83">
        <f>F950</f>
        <v>0</v>
      </c>
      <c r="G949" s="83">
        <f>G950</f>
        <v>0</v>
      </c>
      <c r="H949" s="258" t="e">
        <f t="shared" si="141"/>
        <v>#DIV/0!</v>
      </c>
      <c r="I949" s="124"/>
      <c r="J949" s="124"/>
      <c r="K949" s="124"/>
      <c r="L949" s="125"/>
      <c r="M949" s="125"/>
    </row>
    <row r="950" spans="1:13" s="45" customFormat="1" ht="78.75" hidden="1" x14ac:dyDescent="0.2">
      <c r="A950" s="81" t="s">
        <v>23</v>
      </c>
      <c r="B950" s="31" t="s">
        <v>619</v>
      </c>
      <c r="C950" s="31" t="s">
        <v>468</v>
      </c>
      <c r="D950" s="32" t="s">
        <v>640</v>
      </c>
      <c r="E950" s="31" t="s">
        <v>43</v>
      </c>
      <c r="F950" s="83">
        <f>F951</f>
        <v>0</v>
      </c>
      <c r="G950" s="83">
        <f>G951</f>
        <v>0</v>
      </c>
      <c r="H950" s="258" t="e">
        <f t="shared" si="141"/>
        <v>#DIV/0!</v>
      </c>
      <c r="I950" s="124"/>
      <c r="J950" s="124"/>
      <c r="K950" s="124"/>
      <c r="L950" s="125"/>
      <c r="M950" s="125"/>
    </row>
    <row r="951" spans="1:13" s="45" customFormat="1" hidden="1" x14ac:dyDescent="0.2">
      <c r="A951" s="81" t="s">
        <v>142</v>
      </c>
      <c r="B951" s="31" t="s">
        <v>619</v>
      </c>
      <c r="C951" s="31" t="s">
        <v>468</v>
      </c>
      <c r="D951" s="32" t="s">
        <v>640</v>
      </c>
      <c r="E951" s="31" t="s">
        <v>143</v>
      </c>
      <c r="F951" s="83"/>
      <c r="G951" s="83"/>
      <c r="H951" s="258" t="e">
        <f t="shared" si="141"/>
        <v>#DIV/0!</v>
      </c>
      <c r="I951" s="124"/>
      <c r="J951" s="124"/>
      <c r="K951" s="124"/>
      <c r="L951" s="125"/>
      <c r="M951" s="125"/>
    </row>
    <row r="952" spans="1:13" s="102" customFormat="1" ht="94.5" hidden="1" x14ac:dyDescent="0.2">
      <c r="A952" s="221" t="s">
        <v>641</v>
      </c>
      <c r="B952" s="108" t="s">
        <v>619</v>
      </c>
      <c r="C952" s="100" t="s">
        <v>468</v>
      </c>
      <c r="D952" s="109" t="s">
        <v>642</v>
      </c>
      <c r="E952" s="108"/>
      <c r="F952" s="186"/>
      <c r="G952" s="186"/>
      <c r="H952" s="258" t="e">
        <f t="shared" si="141"/>
        <v>#DIV/0!</v>
      </c>
      <c r="I952" s="124"/>
      <c r="J952" s="124"/>
      <c r="K952" s="124"/>
      <c r="L952" s="125"/>
      <c r="M952" s="125"/>
    </row>
    <row r="953" spans="1:13" s="102" customFormat="1" ht="49.15" customHeight="1" x14ac:dyDescent="0.2">
      <c r="A953" s="112" t="s">
        <v>643</v>
      </c>
      <c r="B953" s="100" t="s">
        <v>619</v>
      </c>
      <c r="C953" s="100" t="s">
        <v>468</v>
      </c>
      <c r="D953" s="101" t="s">
        <v>644</v>
      </c>
      <c r="E953" s="100"/>
      <c r="F953" s="176">
        <f>F954</f>
        <v>60.9</v>
      </c>
      <c r="G953" s="176">
        <f>G954</f>
        <v>25.4</v>
      </c>
      <c r="H953" s="258">
        <f t="shared" si="141"/>
        <v>0.41707717569786534</v>
      </c>
      <c r="I953" s="124"/>
      <c r="J953" s="124"/>
      <c r="K953" s="124"/>
      <c r="L953" s="125"/>
      <c r="M953" s="125"/>
    </row>
    <row r="954" spans="1:13" s="102" customFormat="1" ht="65.45" customHeight="1" x14ac:dyDescent="0.2">
      <c r="A954" s="175" t="s">
        <v>23</v>
      </c>
      <c r="B954" s="100" t="s">
        <v>619</v>
      </c>
      <c r="C954" s="100" t="s">
        <v>468</v>
      </c>
      <c r="D954" s="101" t="s">
        <v>644</v>
      </c>
      <c r="E954" s="100" t="s">
        <v>43</v>
      </c>
      <c r="F954" s="176">
        <f>F955</f>
        <v>60.9</v>
      </c>
      <c r="G954" s="176">
        <f>G955</f>
        <v>25.4</v>
      </c>
      <c r="H954" s="258">
        <f t="shared" si="141"/>
        <v>0.41707717569786534</v>
      </c>
      <c r="I954" s="124"/>
      <c r="J954" s="124"/>
      <c r="K954" s="124"/>
      <c r="L954" s="125"/>
      <c r="M954" s="125"/>
    </row>
    <row r="955" spans="1:13" s="102" customFormat="1" x14ac:dyDescent="0.2">
      <c r="A955" s="175" t="s">
        <v>142</v>
      </c>
      <c r="B955" s="100" t="s">
        <v>619</v>
      </c>
      <c r="C955" s="100" t="s">
        <v>468</v>
      </c>
      <c r="D955" s="101" t="s">
        <v>644</v>
      </c>
      <c r="E955" s="100" t="s">
        <v>143</v>
      </c>
      <c r="F955" s="176">
        <v>60.9</v>
      </c>
      <c r="G955" s="176">
        <f>19.5+5.9</f>
        <v>25.4</v>
      </c>
      <c r="H955" s="258">
        <f t="shared" si="141"/>
        <v>0.41707717569786534</v>
      </c>
      <c r="I955" s="124"/>
      <c r="J955" s="124"/>
      <c r="K955" s="124"/>
      <c r="L955" s="125"/>
      <c r="M955" s="125"/>
    </row>
    <row r="956" spans="1:13" s="45" customFormat="1" ht="47.25" hidden="1" x14ac:dyDescent="0.2">
      <c r="A956" s="222" t="s">
        <v>228</v>
      </c>
      <c r="B956" s="15" t="s">
        <v>619</v>
      </c>
      <c r="C956" s="15" t="s">
        <v>468</v>
      </c>
      <c r="D956" s="24" t="s">
        <v>229</v>
      </c>
      <c r="E956" s="15"/>
      <c r="F956" s="80">
        <f t="shared" ref="F956:G958" si="142">F957</f>
        <v>0</v>
      </c>
      <c r="G956" s="80">
        <f t="shared" si="142"/>
        <v>0</v>
      </c>
      <c r="H956" s="258" t="e">
        <f t="shared" si="141"/>
        <v>#DIV/0!</v>
      </c>
      <c r="I956" s="124"/>
      <c r="J956" s="124"/>
      <c r="K956" s="124"/>
      <c r="L956" s="125"/>
      <c r="M956" s="125"/>
    </row>
    <row r="957" spans="1:13" s="45" customFormat="1" ht="47.25" hidden="1" x14ac:dyDescent="0.2">
      <c r="A957" s="81" t="s">
        <v>230</v>
      </c>
      <c r="B957" s="31" t="s">
        <v>619</v>
      </c>
      <c r="C957" s="31" t="s">
        <v>468</v>
      </c>
      <c r="D957" s="32" t="s">
        <v>231</v>
      </c>
      <c r="E957" s="31"/>
      <c r="F957" s="83">
        <f t="shared" si="142"/>
        <v>0</v>
      </c>
      <c r="G957" s="83">
        <f t="shared" si="142"/>
        <v>0</v>
      </c>
      <c r="H957" s="258" t="e">
        <f t="shared" si="141"/>
        <v>#DIV/0!</v>
      </c>
      <c r="I957" s="124"/>
      <c r="J957" s="124"/>
      <c r="K957" s="124"/>
      <c r="L957" s="125"/>
      <c r="M957" s="125"/>
    </row>
    <row r="958" spans="1:13" s="45" customFormat="1" ht="31.5" hidden="1" x14ac:dyDescent="0.2">
      <c r="A958" s="43" t="s">
        <v>25</v>
      </c>
      <c r="B958" s="31" t="s">
        <v>619</v>
      </c>
      <c r="C958" s="31" t="s">
        <v>468</v>
      </c>
      <c r="D958" s="32" t="s">
        <v>231</v>
      </c>
      <c r="E958" s="31" t="s">
        <v>36</v>
      </c>
      <c r="F958" s="83">
        <f t="shared" si="142"/>
        <v>0</v>
      </c>
      <c r="G958" s="83">
        <f t="shared" si="142"/>
        <v>0</v>
      </c>
      <c r="H958" s="258" t="e">
        <f t="shared" si="141"/>
        <v>#DIV/0!</v>
      </c>
      <c r="I958" s="124"/>
      <c r="J958" s="124"/>
      <c r="K958" s="124"/>
      <c r="L958" s="125"/>
      <c r="M958" s="125"/>
    </row>
    <row r="959" spans="1:13" s="45" customFormat="1" ht="31.5" hidden="1" x14ac:dyDescent="0.2">
      <c r="A959" s="43" t="s">
        <v>26</v>
      </c>
      <c r="B959" s="31" t="s">
        <v>619</v>
      </c>
      <c r="C959" s="31" t="s">
        <v>468</v>
      </c>
      <c r="D959" s="32" t="s">
        <v>231</v>
      </c>
      <c r="E959" s="31" t="s">
        <v>37</v>
      </c>
      <c r="F959" s="83"/>
      <c r="G959" s="83"/>
      <c r="H959" s="258" t="e">
        <f t="shared" si="141"/>
        <v>#DIV/0!</v>
      </c>
      <c r="I959" s="124"/>
      <c r="J959" s="124"/>
      <c r="K959" s="124"/>
      <c r="L959" s="125"/>
      <c r="M959" s="125"/>
    </row>
    <row r="960" spans="1:13" s="45" customFormat="1" ht="15.75" customHeight="1" x14ac:dyDescent="0.2">
      <c r="A960" s="216" t="s">
        <v>645</v>
      </c>
      <c r="B960" s="15" t="s">
        <v>619</v>
      </c>
      <c r="C960" s="15" t="s">
        <v>468</v>
      </c>
      <c r="D960" s="24" t="s">
        <v>646</v>
      </c>
      <c r="E960" s="31"/>
      <c r="F960" s="80">
        <f>F961</f>
        <v>21988</v>
      </c>
      <c r="G960" s="80">
        <f>G961</f>
        <v>11108.7</v>
      </c>
      <c r="H960" s="258">
        <f t="shared" si="141"/>
        <v>0.50521648171730038</v>
      </c>
      <c r="I960" s="124"/>
      <c r="J960" s="124"/>
      <c r="K960" s="124"/>
      <c r="L960" s="125"/>
      <c r="M960" s="125"/>
    </row>
    <row r="961" spans="1:13" s="5" customFormat="1" ht="31.5" x14ac:dyDescent="0.2">
      <c r="A961" s="223" t="s">
        <v>138</v>
      </c>
      <c r="B961" s="31" t="s">
        <v>619</v>
      </c>
      <c r="C961" s="31" t="s">
        <v>468</v>
      </c>
      <c r="D961" s="32" t="s">
        <v>647</v>
      </c>
      <c r="E961" s="31"/>
      <c r="F961" s="80">
        <f>F962+F964+F966+F968</f>
        <v>21988</v>
      </c>
      <c r="G961" s="80">
        <f>G962+G964+G966+G968</f>
        <v>11108.7</v>
      </c>
      <c r="H961" s="258">
        <f t="shared" si="141"/>
        <v>0.50521648171730038</v>
      </c>
      <c r="I961" s="124"/>
      <c r="J961" s="124"/>
      <c r="K961" s="124"/>
      <c r="L961" s="125"/>
      <c r="M961" s="125"/>
    </row>
    <row r="962" spans="1:13" s="5" customFormat="1" ht="67.150000000000006" customHeight="1" x14ac:dyDescent="0.2">
      <c r="A962" s="43" t="s">
        <v>23</v>
      </c>
      <c r="B962" s="31" t="s">
        <v>619</v>
      </c>
      <c r="C962" s="31" t="s">
        <v>468</v>
      </c>
      <c r="D962" s="32" t="s">
        <v>647</v>
      </c>
      <c r="E962" s="31" t="s">
        <v>43</v>
      </c>
      <c r="F962" s="83">
        <f>F963</f>
        <v>8730.2000000000007</v>
      </c>
      <c r="G962" s="83">
        <f>G963</f>
        <v>6150.6</v>
      </c>
      <c r="H962" s="258">
        <f t="shared" si="141"/>
        <v>0.70451994226936376</v>
      </c>
      <c r="I962" s="124"/>
      <c r="J962" s="124"/>
      <c r="K962" s="124"/>
      <c r="L962" s="125"/>
      <c r="M962" s="125"/>
    </row>
    <row r="963" spans="1:13" s="5" customFormat="1" x14ac:dyDescent="0.2">
      <c r="A963" s="43" t="s">
        <v>142</v>
      </c>
      <c r="B963" s="31" t="s">
        <v>619</v>
      </c>
      <c r="C963" s="31" t="s">
        <v>468</v>
      </c>
      <c r="D963" s="32" t="s">
        <v>647</v>
      </c>
      <c r="E963" s="31" t="s">
        <v>143</v>
      </c>
      <c r="F963" s="176">
        <v>8730.2000000000007</v>
      </c>
      <c r="G963" s="176">
        <f>4787+1363.6</f>
        <v>6150.6</v>
      </c>
      <c r="H963" s="258">
        <f t="shared" si="141"/>
        <v>0.70451994226936376</v>
      </c>
      <c r="I963" s="124"/>
      <c r="J963" s="124"/>
      <c r="K963" s="124"/>
      <c r="L963" s="125"/>
      <c r="M963" s="125"/>
    </row>
    <row r="964" spans="1:13" s="5" customFormat="1" ht="31.5" x14ac:dyDescent="0.2">
      <c r="A964" s="43" t="s">
        <v>25</v>
      </c>
      <c r="B964" s="31" t="s">
        <v>619</v>
      </c>
      <c r="C964" s="31" t="s">
        <v>468</v>
      </c>
      <c r="D964" s="32" t="s">
        <v>647</v>
      </c>
      <c r="E964" s="31" t="s">
        <v>36</v>
      </c>
      <c r="F964" s="83">
        <f>F965</f>
        <v>13184.8</v>
      </c>
      <c r="G964" s="83">
        <f>G965</f>
        <v>4909</v>
      </c>
      <c r="H964" s="258">
        <f t="shared" si="141"/>
        <v>0.37232267459498819</v>
      </c>
      <c r="I964" s="124"/>
      <c r="J964" s="124"/>
      <c r="K964" s="124"/>
      <c r="L964" s="125"/>
      <c r="M964" s="125"/>
    </row>
    <row r="965" spans="1:13" s="5" customFormat="1" ht="31.5" x14ac:dyDescent="0.2">
      <c r="A965" s="43" t="s">
        <v>26</v>
      </c>
      <c r="B965" s="31" t="s">
        <v>619</v>
      </c>
      <c r="C965" s="31" t="s">
        <v>468</v>
      </c>
      <c r="D965" s="32" t="s">
        <v>647</v>
      </c>
      <c r="E965" s="31" t="s">
        <v>37</v>
      </c>
      <c r="F965" s="83">
        <v>13184.8</v>
      </c>
      <c r="G965" s="83">
        <v>4909</v>
      </c>
      <c r="H965" s="258">
        <f t="shared" si="141"/>
        <v>0.37232267459498819</v>
      </c>
      <c r="I965" s="124"/>
      <c r="J965" s="124"/>
      <c r="K965" s="124"/>
      <c r="L965" s="125"/>
      <c r="M965" s="125"/>
    </row>
    <row r="966" spans="1:13" s="5" customFormat="1" ht="31.5" hidden="1" x14ac:dyDescent="0.2">
      <c r="A966" s="30" t="s">
        <v>150</v>
      </c>
      <c r="B966" s="31" t="s">
        <v>619</v>
      </c>
      <c r="C966" s="31" t="s">
        <v>468</v>
      </c>
      <c r="D966" s="32" t="s">
        <v>647</v>
      </c>
      <c r="E966" s="31" t="s">
        <v>151</v>
      </c>
      <c r="F966" s="29">
        <f>F967</f>
        <v>0</v>
      </c>
      <c r="G966" s="29">
        <f>G967</f>
        <v>0</v>
      </c>
      <c r="H966" s="258" t="e">
        <f t="shared" si="141"/>
        <v>#DIV/0!</v>
      </c>
      <c r="I966" s="124"/>
      <c r="J966" s="124"/>
      <c r="K966" s="124"/>
      <c r="L966" s="125"/>
      <c r="M966" s="125"/>
    </row>
    <row r="967" spans="1:13" s="5" customFormat="1" hidden="1" x14ac:dyDescent="0.2">
      <c r="A967" s="30" t="s">
        <v>152</v>
      </c>
      <c r="B967" s="31" t="s">
        <v>619</v>
      </c>
      <c r="C967" s="31" t="s">
        <v>468</v>
      </c>
      <c r="D967" s="32" t="s">
        <v>647</v>
      </c>
      <c r="E967" s="31" t="s">
        <v>153</v>
      </c>
      <c r="F967" s="29"/>
      <c r="G967" s="29"/>
      <c r="H967" s="258" t="e">
        <f t="shared" si="141"/>
        <v>#DIV/0!</v>
      </c>
      <c r="I967" s="124"/>
      <c r="J967" s="124"/>
      <c r="K967" s="124"/>
      <c r="L967" s="125"/>
      <c r="M967" s="125"/>
    </row>
    <row r="968" spans="1:13" s="5" customFormat="1" x14ac:dyDescent="0.2">
      <c r="A968" s="81" t="s">
        <v>29</v>
      </c>
      <c r="B968" s="31" t="s">
        <v>619</v>
      </c>
      <c r="C968" s="31" t="s">
        <v>468</v>
      </c>
      <c r="D968" s="32" t="s">
        <v>647</v>
      </c>
      <c r="E968" s="31" t="s">
        <v>130</v>
      </c>
      <c r="F968" s="83">
        <f>F969+F970</f>
        <v>73</v>
      </c>
      <c r="G968" s="83">
        <f>G969+G970</f>
        <v>49.1</v>
      </c>
      <c r="H968" s="258">
        <f t="shared" si="141"/>
        <v>0.67260273972602747</v>
      </c>
      <c r="I968" s="124"/>
      <c r="J968" s="124"/>
      <c r="K968" s="124"/>
      <c r="L968" s="125"/>
      <c r="M968" s="125"/>
    </row>
    <row r="969" spans="1:13" s="5" customFormat="1" x14ac:dyDescent="0.2">
      <c r="A969" s="81" t="s">
        <v>31</v>
      </c>
      <c r="B969" s="31" t="s">
        <v>619</v>
      </c>
      <c r="C969" s="31" t="s">
        <v>468</v>
      </c>
      <c r="D969" s="32" t="s">
        <v>647</v>
      </c>
      <c r="E969" s="31" t="s">
        <v>168</v>
      </c>
      <c r="F969" s="83">
        <v>73</v>
      </c>
      <c r="G969" s="83">
        <f>48+1.1</f>
        <v>49.1</v>
      </c>
      <c r="H969" s="258">
        <f t="shared" si="141"/>
        <v>0.67260273972602747</v>
      </c>
      <c r="I969" s="124"/>
      <c r="J969" s="124"/>
      <c r="K969" s="124"/>
      <c r="L969" s="125"/>
      <c r="M969" s="125"/>
    </row>
    <row r="970" spans="1:13" s="5" customFormat="1" hidden="1" x14ac:dyDescent="0.2">
      <c r="A970" s="81" t="s">
        <v>50</v>
      </c>
      <c r="B970" s="31" t="s">
        <v>619</v>
      </c>
      <c r="C970" s="31" t="s">
        <v>468</v>
      </c>
      <c r="D970" s="32" t="s">
        <v>647</v>
      </c>
      <c r="E970" s="31" t="s">
        <v>277</v>
      </c>
      <c r="F970" s="83">
        <f>7047.5-4588.9-2458.6</f>
        <v>0</v>
      </c>
      <c r="G970" s="83">
        <f>7047.5-4588.9-2458.6</f>
        <v>0</v>
      </c>
      <c r="H970" s="258" t="e">
        <f t="shared" si="141"/>
        <v>#DIV/0!</v>
      </c>
      <c r="I970" s="124"/>
      <c r="J970" s="124"/>
      <c r="K970" s="124"/>
      <c r="L970" s="125"/>
      <c r="M970" s="125"/>
    </row>
    <row r="971" spans="1:13" s="45" customFormat="1" x14ac:dyDescent="0.2">
      <c r="A971" s="222" t="s">
        <v>197</v>
      </c>
      <c r="B971" s="15" t="s">
        <v>619</v>
      </c>
      <c r="C971" s="15" t="s">
        <v>468</v>
      </c>
      <c r="D971" s="24" t="s">
        <v>198</v>
      </c>
      <c r="E971" s="15"/>
      <c r="F971" s="80">
        <f>F972+F980+F983</f>
        <v>2822.2</v>
      </c>
      <c r="G971" s="80">
        <f>G972+G980+G983</f>
        <v>1057.3</v>
      </c>
      <c r="H971" s="258">
        <f t="shared" si="141"/>
        <v>0.37463680816384382</v>
      </c>
      <c r="I971" s="124"/>
      <c r="J971" s="124"/>
      <c r="K971" s="124"/>
      <c r="L971" s="125"/>
      <c r="M971" s="125"/>
    </row>
    <row r="972" spans="1:13" s="98" customFormat="1" ht="31.5" x14ac:dyDescent="0.2">
      <c r="A972" s="224" t="s">
        <v>648</v>
      </c>
      <c r="B972" s="40" t="s">
        <v>619</v>
      </c>
      <c r="C972" s="40" t="s">
        <v>468</v>
      </c>
      <c r="D972" s="106" t="s">
        <v>481</v>
      </c>
      <c r="E972" s="40"/>
      <c r="F972" s="87">
        <f>F973</f>
        <v>2480.1999999999998</v>
      </c>
      <c r="G972" s="87">
        <f>G973</f>
        <v>972.3</v>
      </c>
      <c r="H972" s="258">
        <f t="shared" si="141"/>
        <v>0.39202483670671723</v>
      </c>
      <c r="I972" s="124"/>
      <c r="J972" s="124"/>
      <c r="K972" s="124"/>
      <c r="L972" s="125"/>
      <c r="M972" s="125"/>
    </row>
    <row r="973" spans="1:13" s="98" customFormat="1" ht="31.5" x14ac:dyDescent="0.2">
      <c r="A973" s="43" t="s">
        <v>25</v>
      </c>
      <c r="B973" s="31" t="s">
        <v>619</v>
      </c>
      <c r="C973" s="31" t="s">
        <v>468</v>
      </c>
      <c r="D973" s="32" t="s">
        <v>481</v>
      </c>
      <c r="E973" s="31" t="s">
        <v>36</v>
      </c>
      <c r="F973" s="83">
        <f>F974</f>
        <v>2480.1999999999998</v>
      </c>
      <c r="G973" s="83">
        <f>G974</f>
        <v>972.3</v>
      </c>
      <c r="H973" s="258">
        <f t="shared" si="141"/>
        <v>0.39202483670671723</v>
      </c>
      <c r="I973" s="124"/>
      <c r="J973" s="124"/>
      <c r="K973" s="124"/>
      <c r="L973" s="125"/>
      <c r="M973" s="125"/>
    </row>
    <row r="974" spans="1:13" s="98" customFormat="1" ht="31.5" x14ac:dyDescent="0.2">
      <c r="A974" s="43" t="s">
        <v>26</v>
      </c>
      <c r="B974" s="31" t="s">
        <v>619</v>
      </c>
      <c r="C974" s="31" t="s">
        <v>468</v>
      </c>
      <c r="D974" s="32" t="s">
        <v>481</v>
      </c>
      <c r="E974" s="31" t="s">
        <v>37</v>
      </c>
      <c r="F974" s="82">
        <v>2480.1999999999998</v>
      </c>
      <c r="G974" s="82">
        <v>972.3</v>
      </c>
      <c r="H974" s="258">
        <f t="shared" si="141"/>
        <v>0.39202483670671723</v>
      </c>
      <c r="I974" s="124"/>
      <c r="J974" s="124"/>
      <c r="K974" s="124"/>
      <c r="L974" s="125"/>
      <c r="M974" s="125"/>
    </row>
    <row r="975" spans="1:13" s="98" customFormat="1" hidden="1" x14ac:dyDescent="0.2">
      <c r="A975" s="139" t="s">
        <v>29</v>
      </c>
      <c r="B975" s="31" t="s">
        <v>619</v>
      </c>
      <c r="C975" s="31" t="s">
        <v>468</v>
      </c>
      <c r="D975" s="32" t="s">
        <v>481</v>
      </c>
      <c r="E975" s="31" t="s">
        <v>130</v>
      </c>
      <c r="F975" s="83">
        <f>F976</f>
        <v>0</v>
      </c>
      <c r="G975" s="83">
        <f>G976</f>
        <v>0</v>
      </c>
      <c r="H975" s="258" t="e">
        <f t="shared" si="141"/>
        <v>#DIV/0!</v>
      </c>
      <c r="I975" s="124"/>
      <c r="J975" s="124"/>
      <c r="K975" s="124"/>
      <c r="L975" s="125"/>
      <c r="M975" s="125"/>
    </row>
    <row r="976" spans="1:13" s="98" customFormat="1" hidden="1" x14ac:dyDescent="0.2">
      <c r="A976" s="139" t="s">
        <v>50</v>
      </c>
      <c r="B976" s="31" t="s">
        <v>619</v>
      </c>
      <c r="C976" s="31" t="s">
        <v>468</v>
      </c>
      <c r="D976" s="32" t="s">
        <v>481</v>
      </c>
      <c r="E976" s="31" t="s">
        <v>277</v>
      </c>
      <c r="F976" s="82">
        <f>920.7-920.7</f>
        <v>0</v>
      </c>
      <c r="G976" s="82">
        <f>920.7-920.7</f>
        <v>0</v>
      </c>
      <c r="H976" s="258" t="e">
        <f t="shared" si="141"/>
        <v>#DIV/0!</v>
      </c>
      <c r="I976" s="124"/>
      <c r="J976" s="124"/>
      <c r="K976" s="124"/>
      <c r="L976" s="125"/>
      <c r="M976" s="125"/>
    </row>
    <row r="977" spans="1:13" s="113" customFormat="1" ht="47.25" hidden="1" x14ac:dyDescent="0.2">
      <c r="A977" s="115" t="s">
        <v>210</v>
      </c>
      <c r="B977" s="108" t="s">
        <v>619</v>
      </c>
      <c r="C977" s="108" t="s">
        <v>468</v>
      </c>
      <c r="D977" s="108" t="s">
        <v>211</v>
      </c>
      <c r="E977" s="109"/>
      <c r="F977" s="110">
        <f>F978</f>
        <v>0</v>
      </c>
      <c r="G977" s="110">
        <f>G978</f>
        <v>0</v>
      </c>
      <c r="H977" s="258" t="e">
        <f t="shared" si="141"/>
        <v>#DIV/0!</v>
      </c>
      <c r="I977" s="124"/>
      <c r="J977" s="124"/>
      <c r="K977" s="124"/>
      <c r="L977" s="125"/>
      <c r="M977" s="125"/>
    </row>
    <row r="978" spans="1:13" s="113" customFormat="1" ht="31.5" hidden="1" x14ac:dyDescent="0.2">
      <c r="A978" s="43" t="s">
        <v>25</v>
      </c>
      <c r="B978" s="100" t="s">
        <v>619</v>
      </c>
      <c r="C978" s="31" t="s">
        <v>468</v>
      </c>
      <c r="D978" s="100" t="s">
        <v>211</v>
      </c>
      <c r="E978" s="101">
        <v>200</v>
      </c>
      <c r="F978" s="97">
        <f>F979</f>
        <v>0</v>
      </c>
      <c r="G978" s="97">
        <f>G979</f>
        <v>0</v>
      </c>
      <c r="H978" s="258" t="e">
        <f t="shared" si="141"/>
        <v>#DIV/0!</v>
      </c>
      <c r="I978" s="124"/>
      <c r="J978" s="124"/>
      <c r="K978" s="124"/>
      <c r="L978" s="125"/>
      <c r="M978" s="125"/>
    </row>
    <row r="979" spans="1:13" s="113" customFormat="1" ht="31.5" hidden="1" x14ac:dyDescent="0.2">
      <c r="A979" s="43" t="s">
        <v>26</v>
      </c>
      <c r="B979" s="100" t="s">
        <v>619</v>
      </c>
      <c r="C979" s="31" t="s">
        <v>468</v>
      </c>
      <c r="D979" s="100" t="s">
        <v>211</v>
      </c>
      <c r="E979" s="101">
        <v>240</v>
      </c>
      <c r="F979" s="97"/>
      <c r="G979" s="97"/>
      <c r="H979" s="258" t="e">
        <f t="shared" si="141"/>
        <v>#DIV/0!</v>
      </c>
      <c r="I979" s="124"/>
      <c r="J979" s="124"/>
      <c r="K979" s="124"/>
      <c r="L979" s="125"/>
      <c r="M979" s="125"/>
    </row>
    <row r="980" spans="1:13" s="71" customFormat="1" ht="47.25" x14ac:dyDescent="0.2">
      <c r="A980" s="171" t="s">
        <v>201</v>
      </c>
      <c r="B980" s="68" t="s">
        <v>619</v>
      </c>
      <c r="C980" s="40" t="s">
        <v>468</v>
      </c>
      <c r="D980" s="68" t="s">
        <v>200</v>
      </c>
      <c r="E980" s="128"/>
      <c r="F980" s="129">
        <f>F981</f>
        <v>315</v>
      </c>
      <c r="G980" s="129">
        <f>G981</f>
        <v>63</v>
      </c>
      <c r="H980" s="258">
        <f t="shared" si="141"/>
        <v>0.2</v>
      </c>
      <c r="I980" s="124"/>
      <c r="J980" s="124"/>
      <c r="K980" s="124"/>
      <c r="L980" s="125"/>
      <c r="M980" s="125"/>
    </row>
    <row r="981" spans="1:13" s="71" customFormat="1" ht="31.5" x14ac:dyDescent="0.2">
      <c r="A981" s="57" t="s">
        <v>25</v>
      </c>
      <c r="B981" s="58" t="s">
        <v>619</v>
      </c>
      <c r="C981" s="31" t="s">
        <v>468</v>
      </c>
      <c r="D981" s="58" t="s">
        <v>200</v>
      </c>
      <c r="E981" s="59">
        <v>200</v>
      </c>
      <c r="F981" s="49">
        <f>F982</f>
        <v>315</v>
      </c>
      <c r="G981" s="49">
        <f>G982</f>
        <v>63</v>
      </c>
      <c r="H981" s="258">
        <f t="shared" si="141"/>
        <v>0.2</v>
      </c>
      <c r="I981" s="124"/>
      <c r="J981" s="124"/>
      <c r="K981" s="124"/>
      <c r="L981" s="125"/>
      <c r="M981" s="125"/>
    </row>
    <row r="982" spans="1:13" s="71" customFormat="1" ht="31.5" x14ac:dyDescent="0.2">
      <c r="A982" s="57" t="s">
        <v>26</v>
      </c>
      <c r="B982" s="58" t="s">
        <v>619</v>
      </c>
      <c r="C982" s="31" t="s">
        <v>468</v>
      </c>
      <c r="D982" s="58" t="s">
        <v>200</v>
      </c>
      <c r="E982" s="59">
        <v>240</v>
      </c>
      <c r="F982" s="49">
        <v>315</v>
      </c>
      <c r="G982" s="49">
        <v>63</v>
      </c>
      <c r="H982" s="258">
        <f t="shared" si="141"/>
        <v>0.2</v>
      </c>
      <c r="I982" s="124"/>
      <c r="J982" s="124"/>
      <c r="K982" s="124"/>
      <c r="L982" s="125"/>
      <c r="M982" s="125"/>
    </row>
    <row r="983" spans="1:13" s="71" customFormat="1" ht="31.5" x14ac:dyDescent="0.2">
      <c r="A983" s="171" t="s">
        <v>445</v>
      </c>
      <c r="B983" s="68" t="s">
        <v>619</v>
      </c>
      <c r="C983" s="40" t="s">
        <v>468</v>
      </c>
      <c r="D983" s="68" t="s">
        <v>446</v>
      </c>
      <c r="E983" s="128"/>
      <c r="F983" s="129">
        <f>F984</f>
        <v>27</v>
      </c>
      <c r="G983" s="129">
        <f>G984</f>
        <v>22</v>
      </c>
      <c r="H983" s="258">
        <f t="shared" ref="H983:H1046" si="143">G983/F983</f>
        <v>0.81481481481481477</v>
      </c>
      <c r="I983" s="124"/>
      <c r="J983" s="124"/>
      <c r="K983" s="124"/>
      <c r="L983" s="125"/>
      <c r="M983" s="125"/>
    </row>
    <row r="984" spans="1:13" s="71" customFormat="1" ht="31.5" x14ac:dyDescent="0.2">
      <c r="A984" s="57" t="s">
        <v>25</v>
      </c>
      <c r="B984" s="58" t="s">
        <v>619</v>
      </c>
      <c r="C984" s="31" t="s">
        <v>468</v>
      </c>
      <c r="D984" s="58" t="s">
        <v>446</v>
      </c>
      <c r="E984" s="59">
        <v>200</v>
      </c>
      <c r="F984" s="49">
        <f>F985</f>
        <v>27</v>
      </c>
      <c r="G984" s="49">
        <f>G985</f>
        <v>22</v>
      </c>
      <c r="H984" s="258">
        <f t="shared" si="143"/>
        <v>0.81481481481481477</v>
      </c>
      <c r="I984" s="124"/>
      <c r="J984" s="124"/>
      <c r="K984" s="124"/>
      <c r="L984" s="125"/>
      <c r="M984" s="125"/>
    </row>
    <row r="985" spans="1:13" s="71" customFormat="1" ht="31.5" x14ac:dyDescent="0.2">
      <c r="A985" s="57" t="s">
        <v>26</v>
      </c>
      <c r="B985" s="58" t="s">
        <v>619</v>
      </c>
      <c r="C985" s="31" t="s">
        <v>468</v>
      </c>
      <c r="D985" s="58" t="s">
        <v>446</v>
      </c>
      <c r="E985" s="59">
        <v>240</v>
      </c>
      <c r="F985" s="49">
        <v>27</v>
      </c>
      <c r="G985" s="49">
        <v>22</v>
      </c>
      <c r="H985" s="258">
        <f t="shared" si="143"/>
        <v>0.81481481481481477</v>
      </c>
      <c r="I985" s="124"/>
      <c r="J985" s="124"/>
      <c r="K985" s="124"/>
      <c r="L985" s="125"/>
      <c r="M985" s="125"/>
    </row>
    <row r="986" spans="1:13" s="28" customFormat="1" hidden="1" x14ac:dyDescent="0.2">
      <c r="A986" s="90" t="s">
        <v>120</v>
      </c>
      <c r="B986" s="15" t="s">
        <v>619</v>
      </c>
      <c r="C986" s="15" t="s">
        <v>468</v>
      </c>
      <c r="D986" s="15" t="s">
        <v>121</v>
      </c>
      <c r="E986" s="24"/>
      <c r="F986" s="80">
        <f>F987</f>
        <v>0</v>
      </c>
      <c r="G986" s="80">
        <f>G987</f>
        <v>0</v>
      </c>
      <c r="H986" s="258" t="e">
        <f t="shared" si="143"/>
        <v>#DIV/0!</v>
      </c>
      <c r="I986" s="124"/>
      <c r="J986" s="124"/>
      <c r="K986" s="124"/>
      <c r="L986" s="125"/>
      <c r="M986" s="125"/>
    </row>
    <row r="987" spans="1:13" s="28" customFormat="1" ht="31.5" hidden="1" x14ac:dyDescent="0.2">
      <c r="A987" s="43" t="s">
        <v>531</v>
      </c>
      <c r="B987" s="31" t="s">
        <v>619</v>
      </c>
      <c r="C987" s="31" t="s">
        <v>468</v>
      </c>
      <c r="D987" s="31" t="s">
        <v>379</v>
      </c>
      <c r="E987" s="32"/>
      <c r="F987" s="83">
        <f>F988+F990</f>
        <v>0</v>
      </c>
      <c r="G987" s="83">
        <f>G988+G990</f>
        <v>0</v>
      </c>
      <c r="H987" s="258" t="e">
        <f t="shared" si="143"/>
        <v>#DIV/0!</v>
      </c>
      <c r="I987" s="124"/>
      <c r="J987" s="124"/>
      <c r="K987" s="124"/>
      <c r="L987" s="125"/>
      <c r="M987" s="125"/>
    </row>
    <row r="988" spans="1:13" s="28" customFormat="1" ht="31.5" hidden="1" x14ac:dyDescent="0.2">
      <c r="A988" s="43" t="s">
        <v>25</v>
      </c>
      <c r="B988" s="31" t="s">
        <v>619</v>
      </c>
      <c r="C988" s="31" t="s">
        <v>468</v>
      </c>
      <c r="D988" s="31" t="s">
        <v>379</v>
      </c>
      <c r="E988" s="32">
        <v>200</v>
      </c>
      <c r="F988" s="83">
        <f>F989</f>
        <v>0</v>
      </c>
      <c r="G988" s="83">
        <f>G989</f>
        <v>0</v>
      </c>
      <c r="H988" s="258" t="e">
        <f t="shared" si="143"/>
        <v>#DIV/0!</v>
      </c>
      <c r="I988" s="124"/>
      <c r="J988" s="124"/>
      <c r="K988" s="124"/>
      <c r="L988" s="125"/>
      <c r="M988" s="125"/>
    </row>
    <row r="989" spans="1:13" s="28" customFormat="1" ht="31.5" hidden="1" x14ac:dyDescent="0.2">
      <c r="A989" s="43" t="s">
        <v>26</v>
      </c>
      <c r="B989" s="31" t="s">
        <v>619</v>
      </c>
      <c r="C989" s="31" t="s">
        <v>468</v>
      </c>
      <c r="D989" s="31" t="s">
        <v>379</v>
      </c>
      <c r="E989" s="32">
        <v>240</v>
      </c>
      <c r="F989" s="83"/>
      <c r="G989" s="83"/>
      <c r="H989" s="258" t="e">
        <f t="shared" si="143"/>
        <v>#DIV/0!</v>
      </c>
      <c r="I989" s="124"/>
      <c r="J989" s="124"/>
      <c r="K989" s="124"/>
      <c r="L989" s="125"/>
      <c r="M989" s="125"/>
    </row>
    <row r="990" spans="1:13" s="28" customFormat="1" ht="31.5" hidden="1" x14ac:dyDescent="0.2">
      <c r="A990" s="43" t="s">
        <v>532</v>
      </c>
      <c r="B990" s="31" t="s">
        <v>619</v>
      </c>
      <c r="C990" s="31" t="s">
        <v>468</v>
      </c>
      <c r="D990" s="31" t="s">
        <v>533</v>
      </c>
      <c r="E990" s="32"/>
      <c r="F990" s="83">
        <f>F991</f>
        <v>0</v>
      </c>
      <c r="G990" s="83">
        <f>G991</f>
        <v>0</v>
      </c>
      <c r="H990" s="258" t="e">
        <f t="shared" si="143"/>
        <v>#DIV/0!</v>
      </c>
      <c r="I990" s="124"/>
      <c r="J990" s="124"/>
      <c r="K990" s="124"/>
      <c r="L990" s="125"/>
      <c r="M990" s="125"/>
    </row>
    <row r="991" spans="1:13" s="28" customFormat="1" ht="31.5" hidden="1" x14ac:dyDescent="0.2">
      <c r="A991" s="43" t="s">
        <v>25</v>
      </c>
      <c r="B991" s="31" t="s">
        <v>619</v>
      </c>
      <c r="C991" s="31" t="s">
        <v>468</v>
      </c>
      <c r="D991" s="31" t="s">
        <v>533</v>
      </c>
      <c r="E991" s="32">
        <v>200</v>
      </c>
      <c r="F991" s="83">
        <f>F992</f>
        <v>0</v>
      </c>
      <c r="G991" s="83">
        <f>G992</f>
        <v>0</v>
      </c>
      <c r="H991" s="258" t="e">
        <f t="shared" si="143"/>
        <v>#DIV/0!</v>
      </c>
      <c r="I991" s="124"/>
      <c r="J991" s="124"/>
      <c r="K991" s="124"/>
      <c r="L991" s="125"/>
      <c r="M991" s="125"/>
    </row>
    <row r="992" spans="1:13" s="28" customFormat="1" ht="31.5" hidden="1" x14ac:dyDescent="0.2">
      <c r="A992" s="43" t="s">
        <v>26</v>
      </c>
      <c r="B992" s="31" t="s">
        <v>619</v>
      </c>
      <c r="C992" s="31" t="s">
        <v>468</v>
      </c>
      <c r="D992" s="31" t="s">
        <v>533</v>
      </c>
      <c r="E992" s="32">
        <v>240</v>
      </c>
      <c r="F992" s="83"/>
      <c r="G992" s="83"/>
      <c r="H992" s="258" t="e">
        <f t="shared" si="143"/>
        <v>#DIV/0!</v>
      </c>
      <c r="I992" s="124"/>
      <c r="J992" s="124"/>
      <c r="K992" s="124"/>
      <c r="L992" s="125"/>
      <c r="M992" s="125"/>
    </row>
    <row r="993" spans="1:13" s="5" customFormat="1" x14ac:dyDescent="0.2">
      <c r="A993" s="33" t="s">
        <v>649</v>
      </c>
      <c r="B993" s="34" t="s">
        <v>619</v>
      </c>
      <c r="C993" s="34" t="s">
        <v>650</v>
      </c>
      <c r="D993" s="34"/>
      <c r="E993" s="41"/>
      <c r="F993" s="35">
        <f>F1001+F1098+F1117+F1130+F1148+F1195</f>
        <v>256554.19999999998</v>
      </c>
      <c r="G993" s="35">
        <f>G1001+G1098+G1117+G1130+G1148+G1195</f>
        <v>161381.60000000003</v>
      </c>
      <c r="H993" s="258">
        <f t="shared" si="143"/>
        <v>0.62903511226867481</v>
      </c>
      <c r="I993" s="124"/>
      <c r="J993" s="124"/>
      <c r="K993" s="124"/>
      <c r="L993" s="125"/>
      <c r="M993" s="125"/>
    </row>
    <row r="994" spans="1:13" s="5" customFormat="1" hidden="1" x14ac:dyDescent="0.2">
      <c r="A994" s="23" t="s">
        <v>67</v>
      </c>
      <c r="B994" s="15" t="s">
        <v>619</v>
      </c>
      <c r="C994" s="15" t="s">
        <v>650</v>
      </c>
      <c r="D994" s="15" t="s">
        <v>68</v>
      </c>
      <c r="E994" s="24" t="s">
        <v>4</v>
      </c>
      <c r="F994" s="25">
        <f>F995</f>
        <v>0</v>
      </c>
      <c r="G994" s="25">
        <f>G995</f>
        <v>0</v>
      </c>
      <c r="H994" s="258" t="e">
        <f t="shared" si="143"/>
        <v>#DIV/0!</v>
      </c>
      <c r="I994" s="124"/>
      <c r="J994" s="124"/>
      <c r="K994" s="124"/>
      <c r="L994" s="125"/>
      <c r="M994" s="125"/>
    </row>
    <row r="995" spans="1:13" s="5" customFormat="1" hidden="1" x14ac:dyDescent="0.2">
      <c r="A995" s="30" t="s">
        <v>33</v>
      </c>
      <c r="B995" s="31" t="s">
        <v>619</v>
      </c>
      <c r="C995" s="31" t="s">
        <v>650</v>
      </c>
      <c r="D995" s="31" t="s">
        <v>69</v>
      </c>
      <c r="E995" s="24"/>
      <c r="F995" s="25">
        <f>F996</f>
        <v>0</v>
      </c>
      <c r="G995" s="25">
        <f>G996</f>
        <v>0</v>
      </c>
      <c r="H995" s="258" t="e">
        <f t="shared" si="143"/>
        <v>#DIV/0!</v>
      </c>
      <c r="I995" s="124"/>
      <c r="J995" s="124"/>
      <c r="K995" s="124"/>
      <c r="L995" s="125"/>
      <c r="M995" s="125"/>
    </row>
    <row r="996" spans="1:13" s="5" customFormat="1" ht="31.5" hidden="1" x14ac:dyDescent="0.2">
      <c r="A996" s="81" t="s">
        <v>154</v>
      </c>
      <c r="B996" s="31" t="s">
        <v>619</v>
      </c>
      <c r="C996" s="31" t="s">
        <v>650</v>
      </c>
      <c r="D996" s="31" t="s">
        <v>71</v>
      </c>
      <c r="E996" s="31" t="s">
        <v>4</v>
      </c>
      <c r="F996" s="83">
        <f>F997+F999</f>
        <v>0</v>
      </c>
      <c r="G996" s="83">
        <f>G997+G999</f>
        <v>0</v>
      </c>
      <c r="H996" s="258" t="e">
        <f t="shared" si="143"/>
        <v>#DIV/0!</v>
      </c>
      <c r="I996" s="124"/>
      <c r="J996" s="124"/>
      <c r="K996" s="124"/>
      <c r="L996" s="125"/>
      <c r="M996" s="125"/>
    </row>
    <row r="997" spans="1:13" s="5" customFormat="1" ht="78.75" hidden="1" x14ac:dyDescent="0.2">
      <c r="A997" s="43" t="s">
        <v>23</v>
      </c>
      <c r="B997" s="31" t="s">
        <v>619</v>
      </c>
      <c r="C997" s="31" t="s">
        <v>650</v>
      </c>
      <c r="D997" s="31" t="s">
        <v>71</v>
      </c>
      <c r="E997" s="31" t="s">
        <v>43</v>
      </c>
      <c r="F997" s="83">
        <f>F998</f>
        <v>0</v>
      </c>
      <c r="G997" s="83">
        <f>G998</f>
        <v>0</v>
      </c>
      <c r="H997" s="258" t="e">
        <f t="shared" si="143"/>
        <v>#DIV/0!</v>
      </c>
      <c r="I997" s="124"/>
      <c r="J997" s="124"/>
      <c r="K997" s="124"/>
      <c r="L997" s="125"/>
      <c r="M997" s="125"/>
    </row>
    <row r="998" spans="1:13" s="5" customFormat="1" hidden="1" x14ac:dyDescent="0.2">
      <c r="A998" s="43" t="s">
        <v>142</v>
      </c>
      <c r="B998" s="31" t="s">
        <v>619</v>
      </c>
      <c r="C998" s="31" t="s">
        <v>650</v>
      </c>
      <c r="D998" s="31" t="s">
        <v>71</v>
      </c>
      <c r="E998" s="31" t="s">
        <v>143</v>
      </c>
      <c r="F998" s="83"/>
      <c r="G998" s="83"/>
      <c r="H998" s="258" t="e">
        <f t="shared" si="143"/>
        <v>#DIV/0!</v>
      </c>
      <c r="I998" s="124"/>
      <c r="J998" s="124"/>
      <c r="K998" s="124"/>
      <c r="L998" s="125"/>
      <c r="M998" s="125"/>
    </row>
    <row r="999" spans="1:13" s="5" customFormat="1" ht="31.5" hidden="1" x14ac:dyDescent="0.2">
      <c r="A999" s="43" t="s">
        <v>25</v>
      </c>
      <c r="B999" s="31" t="s">
        <v>619</v>
      </c>
      <c r="C999" s="31" t="s">
        <v>650</v>
      </c>
      <c r="D999" s="31" t="s">
        <v>71</v>
      </c>
      <c r="E999" s="31" t="s">
        <v>36</v>
      </c>
      <c r="F999" s="83">
        <f>F1000</f>
        <v>0</v>
      </c>
      <c r="G999" s="83">
        <f>G1000</f>
        <v>0</v>
      </c>
      <c r="H999" s="258" t="e">
        <f t="shared" si="143"/>
        <v>#DIV/0!</v>
      </c>
      <c r="I999" s="124"/>
      <c r="J999" s="124"/>
      <c r="K999" s="124"/>
      <c r="L999" s="125"/>
      <c r="M999" s="125"/>
    </row>
    <row r="1000" spans="1:13" s="5" customFormat="1" ht="31.5" hidden="1" x14ac:dyDescent="0.2">
      <c r="A1000" s="43" t="s">
        <v>26</v>
      </c>
      <c r="B1000" s="31" t="s">
        <v>619</v>
      </c>
      <c r="C1000" s="31" t="s">
        <v>650</v>
      </c>
      <c r="D1000" s="31" t="s">
        <v>71</v>
      </c>
      <c r="E1000" s="31" t="s">
        <v>37</v>
      </c>
      <c r="F1000" s="83"/>
      <c r="G1000" s="83"/>
      <c r="H1000" s="258" t="e">
        <f t="shared" si="143"/>
        <v>#DIV/0!</v>
      </c>
      <c r="I1000" s="124"/>
      <c r="J1000" s="124"/>
      <c r="K1000" s="124"/>
      <c r="L1000" s="125"/>
      <c r="M1000" s="125"/>
    </row>
    <row r="1001" spans="1:13" s="98" customFormat="1" ht="31.5" x14ac:dyDescent="0.2">
      <c r="A1001" s="23" t="s">
        <v>625</v>
      </c>
      <c r="B1001" s="15" t="s">
        <v>619</v>
      </c>
      <c r="C1001" s="15" t="s">
        <v>650</v>
      </c>
      <c r="D1001" s="24" t="s">
        <v>470</v>
      </c>
      <c r="E1001" s="15"/>
      <c r="F1001" s="25">
        <f>F1002+F1086</f>
        <v>193347.29999999996</v>
      </c>
      <c r="G1001" s="25">
        <f>G1002+G1086</f>
        <v>123556.30000000002</v>
      </c>
      <c r="H1001" s="258">
        <f t="shared" si="143"/>
        <v>0.63903814534777592</v>
      </c>
      <c r="I1001" s="124"/>
      <c r="J1001" s="124"/>
      <c r="K1001" s="124"/>
      <c r="L1001" s="125"/>
      <c r="M1001" s="125"/>
    </row>
    <row r="1002" spans="1:13" s="45" customFormat="1" ht="31.5" x14ac:dyDescent="0.2">
      <c r="A1002" s="33" t="s">
        <v>626</v>
      </c>
      <c r="B1002" s="34" t="s">
        <v>619</v>
      </c>
      <c r="C1002" s="34" t="s">
        <v>650</v>
      </c>
      <c r="D1002" s="41" t="s">
        <v>627</v>
      </c>
      <c r="E1002" s="34"/>
      <c r="F1002" s="35">
        <f>F1003+F1068+F1075</f>
        <v>192238.49999999997</v>
      </c>
      <c r="G1002" s="35">
        <f>G1003+G1068+G1075</f>
        <v>122447.50000000001</v>
      </c>
      <c r="H1002" s="258">
        <f t="shared" si="143"/>
        <v>0.63695617683242445</v>
      </c>
      <c r="I1002" s="124"/>
      <c r="J1002" s="124"/>
      <c r="K1002" s="124"/>
      <c r="L1002" s="125"/>
      <c r="M1002" s="125"/>
    </row>
    <row r="1003" spans="1:13" s="5" customFormat="1" ht="95.45" customHeight="1" x14ac:dyDescent="0.2">
      <c r="A1003" s="133" t="s">
        <v>628</v>
      </c>
      <c r="B1003" s="31" t="s">
        <v>619</v>
      </c>
      <c r="C1003" s="31" t="s">
        <v>650</v>
      </c>
      <c r="D1003" s="32" t="s">
        <v>629</v>
      </c>
      <c r="E1003" s="31"/>
      <c r="F1003" s="29">
        <f>F1007+F1019+F1034+F1051+F1058+F1065</f>
        <v>183232.99999999997</v>
      </c>
      <c r="G1003" s="29">
        <f>G1007+G1019+G1034+G1051+G1058+G1065</f>
        <v>121205.70000000001</v>
      </c>
      <c r="H1003" s="258">
        <f t="shared" si="143"/>
        <v>0.66148401215938191</v>
      </c>
      <c r="I1003" s="124"/>
      <c r="J1003" s="124"/>
      <c r="K1003" s="124"/>
      <c r="L1003" s="125"/>
      <c r="M1003" s="125"/>
    </row>
    <row r="1004" spans="1:13" s="45" customFormat="1" ht="78" hidden="1" customHeight="1" x14ac:dyDescent="0.2">
      <c r="A1004" s="219" t="s">
        <v>651</v>
      </c>
      <c r="B1004" s="31" t="s">
        <v>619</v>
      </c>
      <c r="C1004" s="31" t="s">
        <v>650</v>
      </c>
      <c r="D1004" s="32" t="s">
        <v>652</v>
      </c>
      <c r="E1004" s="31"/>
      <c r="F1004" s="83">
        <f>F1005</f>
        <v>0</v>
      </c>
      <c r="G1004" s="83">
        <f>G1005</f>
        <v>0</v>
      </c>
      <c r="H1004" s="258" t="e">
        <f t="shared" si="143"/>
        <v>#DIV/0!</v>
      </c>
      <c r="I1004" s="124"/>
      <c r="J1004" s="124"/>
      <c r="K1004" s="124"/>
      <c r="L1004" s="125"/>
      <c r="M1004" s="125"/>
    </row>
    <row r="1005" spans="1:13" s="28" customFormat="1" hidden="1" x14ac:dyDescent="0.2">
      <c r="A1005" s="81" t="s">
        <v>29</v>
      </c>
      <c r="B1005" s="31" t="s">
        <v>619</v>
      </c>
      <c r="C1005" s="31" t="s">
        <v>650</v>
      </c>
      <c r="D1005" s="32" t="s">
        <v>652</v>
      </c>
      <c r="E1005" s="31" t="s">
        <v>130</v>
      </c>
      <c r="F1005" s="83">
        <f>F1006</f>
        <v>0</v>
      </c>
      <c r="G1005" s="83">
        <f>G1006</f>
        <v>0</v>
      </c>
      <c r="H1005" s="258" t="e">
        <f t="shared" si="143"/>
        <v>#DIV/0!</v>
      </c>
      <c r="I1005" s="124"/>
      <c r="J1005" s="124"/>
      <c r="K1005" s="124"/>
      <c r="L1005" s="125"/>
      <c r="M1005" s="125"/>
    </row>
    <row r="1006" spans="1:13" s="28" customFormat="1" hidden="1" x14ac:dyDescent="0.2">
      <c r="A1006" s="81" t="s">
        <v>50</v>
      </c>
      <c r="B1006" s="31" t="s">
        <v>619</v>
      </c>
      <c r="C1006" s="31" t="s">
        <v>650</v>
      </c>
      <c r="D1006" s="32" t="s">
        <v>652</v>
      </c>
      <c r="E1006" s="31" t="s">
        <v>277</v>
      </c>
      <c r="F1006" s="83"/>
      <c r="G1006" s="83"/>
      <c r="H1006" s="258" t="e">
        <f t="shared" si="143"/>
        <v>#DIV/0!</v>
      </c>
      <c r="I1006" s="124"/>
      <c r="J1006" s="124"/>
      <c r="K1006" s="124"/>
      <c r="L1006" s="125"/>
      <c r="M1006" s="125"/>
    </row>
    <row r="1007" spans="1:13" s="28" customFormat="1" ht="112.15" customHeight="1" x14ac:dyDescent="0.2">
      <c r="A1007" s="133" t="s">
        <v>653</v>
      </c>
      <c r="B1007" s="31" t="s">
        <v>619</v>
      </c>
      <c r="C1007" s="31" t="s">
        <v>650</v>
      </c>
      <c r="D1007" s="32" t="s">
        <v>654</v>
      </c>
      <c r="E1007" s="31"/>
      <c r="F1007" s="83">
        <f>F1008+F1010+F1012+F1014+F1016</f>
        <v>174209.19999999998</v>
      </c>
      <c r="G1007" s="83">
        <f>G1008+G1010+G1012+G1014+G1016</f>
        <v>118719.3</v>
      </c>
      <c r="H1007" s="258">
        <f t="shared" si="143"/>
        <v>0.68147549038741939</v>
      </c>
      <c r="I1007" s="124"/>
      <c r="J1007" s="124"/>
      <c r="K1007" s="124"/>
      <c r="L1007" s="125"/>
      <c r="M1007" s="125"/>
    </row>
    <row r="1008" spans="1:13" s="28" customFormat="1" ht="63.6" customHeight="1" x14ac:dyDescent="0.2">
      <c r="A1008" s="81" t="s">
        <v>23</v>
      </c>
      <c r="B1008" s="31" t="s">
        <v>619</v>
      </c>
      <c r="C1008" s="31" t="s">
        <v>650</v>
      </c>
      <c r="D1008" s="32" t="s">
        <v>654</v>
      </c>
      <c r="E1008" s="31" t="s">
        <v>43</v>
      </c>
      <c r="F1008" s="83">
        <f>F1009</f>
        <v>164979.4</v>
      </c>
      <c r="G1008" s="83">
        <f>G1009</f>
        <v>112084.8</v>
      </c>
      <c r="H1008" s="258">
        <f t="shared" si="143"/>
        <v>0.67938663857427051</v>
      </c>
      <c r="I1008" s="124"/>
      <c r="J1008" s="124"/>
      <c r="K1008" s="124"/>
      <c r="L1008" s="125"/>
      <c r="M1008" s="125"/>
    </row>
    <row r="1009" spans="1:13" s="28" customFormat="1" x14ac:dyDescent="0.2">
      <c r="A1009" s="81" t="s">
        <v>142</v>
      </c>
      <c r="B1009" s="31" t="s">
        <v>619</v>
      </c>
      <c r="C1009" s="31" t="s">
        <v>650</v>
      </c>
      <c r="D1009" s="32" t="s">
        <v>654</v>
      </c>
      <c r="E1009" s="31" t="s">
        <v>143</v>
      </c>
      <c r="F1009" s="83">
        <v>164979.4</v>
      </c>
      <c r="G1009" s="83">
        <f>87098.5+10.3+24976</f>
        <v>112084.8</v>
      </c>
      <c r="H1009" s="258">
        <f t="shared" si="143"/>
        <v>0.67938663857427051</v>
      </c>
      <c r="I1009" s="124"/>
      <c r="J1009" s="124"/>
      <c r="K1009" s="124"/>
      <c r="L1009" s="125"/>
      <c r="M1009" s="125"/>
    </row>
    <row r="1010" spans="1:13" s="28" customFormat="1" ht="31.5" x14ac:dyDescent="0.2">
      <c r="A1010" s="81" t="s">
        <v>25</v>
      </c>
      <c r="B1010" s="31" t="s">
        <v>619</v>
      </c>
      <c r="C1010" s="31" t="s">
        <v>650</v>
      </c>
      <c r="D1010" s="32" t="s">
        <v>654</v>
      </c>
      <c r="E1010" s="31" t="s">
        <v>36</v>
      </c>
      <c r="F1010" s="83">
        <f>F1011</f>
        <v>9218.5</v>
      </c>
      <c r="G1010" s="83">
        <f>G1011</f>
        <v>6623.2</v>
      </c>
      <c r="H1010" s="258">
        <f t="shared" si="143"/>
        <v>0.71846829744535445</v>
      </c>
      <c r="I1010" s="124"/>
      <c r="J1010" s="124"/>
      <c r="K1010" s="124"/>
      <c r="L1010" s="125"/>
      <c r="M1010" s="125"/>
    </row>
    <row r="1011" spans="1:13" s="28" customFormat="1" ht="31.5" x14ac:dyDescent="0.2">
      <c r="A1011" s="81" t="s">
        <v>26</v>
      </c>
      <c r="B1011" s="31" t="s">
        <v>619</v>
      </c>
      <c r="C1011" s="31" t="s">
        <v>650</v>
      </c>
      <c r="D1011" s="32" t="s">
        <v>654</v>
      </c>
      <c r="E1011" s="31" t="s">
        <v>37</v>
      </c>
      <c r="F1011" s="83">
        <v>9218.5</v>
      </c>
      <c r="G1011" s="83">
        <v>6623.2</v>
      </c>
      <c r="H1011" s="258">
        <f t="shared" si="143"/>
        <v>0.71846829744535445</v>
      </c>
      <c r="I1011" s="124"/>
      <c r="J1011" s="124"/>
      <c r="K1011" s="124"/>
      <c r="L1011" s="125"/>
      <c r="M1011" s="125"/>
    </row>
    <row r="1012" spans="1:13" s="28" customFormat="1" hidden="1" x14ac:dyDescent="0.2">
      <c r="A1012" s="81" t="s">
        <v>27</v>
      </c>
      <c r="B1012" s="31" t="s">
        <v>619</v>
      </c>
      <c r="C1012" s="31" t="s">
        <v>650</v>
      </c>
      <c r="D1012" s="32" t="s">
        <v>654</v>
      </c>
      <c r="E1012" s="31" t="s">
        <v>155</v>
      </c>
      <c r="F1012" s="83">
        <f>F1013</f>
        <v>0</v>
      </c>
      <c r="G1012" s="83">
        <f>G1013</f>
        <v>0</v>
      </c>
      <c r="H1012" s="258" t="e">
        <f t="shared" si="143"/>
        <v>#DIV/0!</v>
      </c>
      <c r="I1012" s="124"/>
      <c r="J1012" s="124"/>
      <c r="K1012" s="124"/>
      <c r="L1012" s="125"/>
      <c r="M1012" s="125"/>
    </row>
    <row r="1013" spans="1:13" s="28" customFormat="1" ht="31.5" hidden="1" x14ac:dyDescent="0.2">
      <c r="A1013" s="81" t="s">
        <v>185</v>
      </c>
      <c r="B1013" s="31" t="s">
        <v>619</v>
      </c>
      <c r="C1013" s="31" t="s">
        <v>650</v>
      </c>
      <c r="D1013" s="32" t="s">
        <v>654</v>
      </c>
      <c r="E1013" s="31" t="s">
        <v>550</v>
      </c>
      <c r="F1013" s="83">
        <f>120.5-120.5</f>
        <v>0</v>
      </c>
      <c r="G1013" s="83">
        <f>120.5-120.5</f>
        <v>0</v>
      </c>
      <c r="H1013" s="258" t="e">
        <f t="shared" si="143"/>
        <v>#DIV/0!</v>
      </c>
      <c r="I1013" s="124"/>
      <c r="J1013" s="124"/>
      <c r="K1013" s="124"/>
      <c r="L1013" s="125"/>
      <c r="M1013" s="125"/>
    </row>
    <row r="1014" spans="1:13" s="28" customFormat="1" ht="31.5" hidden="1" x14ac:dyDescent="0.2">
      <c r="A1014" s="30" t="s">
        <v>150</v>
      </c>
      <c r="B1014" s="31" t="s">
        <v>619</v>
      </c>
      <c r="C1014" s="31" t="s">
        <v>650</v>
      </c>
      <c r="D1014" s="32" t="s">
        <v>654</v>
      </c>
      <c r="E1014" s="31" t="s">
        <v>151</v>
      </c>
      <c r="F1014" s="83">
        <f>F1015</f>
        <v>0</v>
      </c>
      <c r="G1014" s="83">
        <f>G1015</f>
        <v>0</v>
      </c>
      <c r="H1014" s="258" t="e">
        <f t="shared" si="143"/>
        <v>#DIV/0!</v>
      </c>
      <c r="I1014" s="124"/>
      <c r="J1014" s="124"/>
      <c r="K1014" s="124"/>
      <c r="L1014" s="125"/>
      <c r="M1014" s="125"/>
    </row>
    <row r="1015" spans="1:13" s="28" customFormat="1" hidden="1" x14ac:dyDescent="0.2">
      <c r="A1015" s="30" t="s">
        <v>152</v>
      </c>
      <c r="B1015" s="31" t="s">
        <v>619</v>
      </c>
      <c r="C1015" s="31" t="s">
        <v>650</v>
      </c>
      <c r="D1015" s="32" t="s">
        <v>654</v>
      </c>
      <c r="E1015" s="31" t="s">
        <v>153</v>
      </c>
      <c r="F1015" s="83"/>
      <c r="G1015" s="83"/>
      <c r="H1015" s="258" t="e">
        <f t="shared" si="143"/>
        <v>#DIV/0!</v>
      </c>
      <c r="I1015" s="124"/>
      <c r="J1015" s="124"/>
      <c r="K1015" s="124"/>
      <c r="L1015" s="125"/>
      <c r="M1015" s="125"/>
    </row>
    <row r="1016" spans="1:13" s="28" customFormat="1" x14ac:dyDescent="0.2">
      <c r="A1016" s="81" t="s">
        <v>29</v>
      </c>
      <c r="B1016" s="31" t="s">
        <v>619</v>
      </c>
      <c r="C1016" s="31" t="s">
        <v>650</v>
      </c>
      <c r="D1016" s="32" t="s">
        <v>654</v>
      </c>
      <c r="E1016" s="31" t="s">
        <v>130</v>
      </c>
      <c r="F1016" s="83">
        <f>F1017+F1018</f>
        <v>11.3</v>
      </c>
      <c r="G1016" s="83">
        <f>G1017+G1018</f>
        <v>11.3</v>
      </c>
      <c r="H1016" s="258">
        <f t="shared" si="143"/>
        <v>1</v>
      </c>
      <c r="I1016" s="124"/>
      <c r="J1016" s="124"/>
      <c r="K1016" s="124"/>
      <c r="L1016" s="125"/>
      <c r="M1016" s="125"/>
    </row>
    <row r="1017" spans="1:13" s="28" customFormat="1" x14ac:dyDescent="0.2">
      <c r="A1017" s="81" t="s">
        <v>31</v>
      </c>
      <c r="B1017" s="31" t="s">
        <v>619</v>
      </c>
      <c r="C1017" s="31" t="s">
        <v>650</v>
      </c>
      <c r="D1017" s="32" t="s">
        <v>654</v>
      </c>
      <c r="E1017" s="31" t="s">
        <v>168</v>
      </c>
      <c r="F1017" s="83">
        <v>11.3</v>
      </c>
      <c r="G1017" s="83">
        <v>11.3</v>
      </c>
      <c r="H1017" s="258">
        <f t="shared" si="143"/>
        <v>1</v>
      </c>
      <c r="I1017" s="124"/>
      <c r="J1017" s="124"/>
      <c r="K1017" s="124"/>
      <c r="L1017" s="125"/>
      <c r="M1017" s="125"/>
    </row>
    <row r="1018" spans="1:13" s="28" customFormat="1" hidden="1" x14ac:dyDescent="0.2">
      <c r="A1018" s="81" t="s">
        <v>50</v>
      </c>
      <c r="B1018" s="31" t="s">
        <v>619</v>
      </c>
      <c r="C1018" s="31" t="s">
        <v>650</v>
      </c>
      <c r="D1018" s="32" t="s">
        <v>654</v>
      </c>
      <c r="E1018" s="31" t="s">
        <v>277</v>
      </c>
      <c r="F1018" s="83">
        <v>0</v>
      </c>
      <c r="G1018" s="83">
        <v>0</v>
      </c>
      <c r="H1018" s="258" t="e">
        <f t="shared" si="143"/>
        <v>#DIV/0!</v>
      </c>
      <c r="I1018" s="124"/>
      <c r="J1018" s="124"/>
      <c r="K1018" s="124"/>
      <c r="L1018" s="125"/>
      <c r="M1018" s="125"/>
    </row>
    <row r="1019" spans="1:13" s="28" customFormat="1" ht="66.75" customHeight="1" x14ac:dyDescent="0.2">
      <c r="A1019" s="30" t="s">
        <v>655</v>
      </c>
      <c r="B1019" s="31" t="s">
        <v>619</v>
      </c>
      <c r="C1019" s="31" t="s">
        <v>650</v>
      </c>
      <c r="D1019" s="32" t="s">
        <v>656</v>
      </c>
      <c r="E1019" s="31"/>
      <c r="F1019" s="83">
        <f>F1020</f>
        <v>1895.7</v>
      </c>
      <c r="G1019" s="83">
        <f>G1020</f>
        <v>326.7</v>
      </c>
      <c r="H1019" s="258">
        <f t="shared" si="143"/>
        <v>0.1723373951574616</v>
      </c>
      <c r="I1019" s="124"/>
      <c r="J1019" s="124"/>
      <c r="K1019" s="124"/>
      <c r="L1019" s="125"/>
      <c r="M1019" s="125"/>
    </row>
    <row r="1020" spans="1:13" s="28" customFormat="1" ht="31.5" x14ac:dyDescent="0.2">
      <c r="A1020" s="81" t="s">
        <v>25</v>
      </c>
      <c r="B1020" s="31" t="s">
        <v>619</v>
      </c>
      <c r="C1020" s="31" t="s">
        <v>650</v>
      </c>
      <c r="D1020" s="32" t="s">
        <v>656</v>
      </c>
      <c r="E1020" s="31" t="s">
        <v>36</v>
      </c>
      <c r="F1020" s="83">
        <f>F1021</f>
        <v>1895.7</v>
      </c>
      <c r="G1020" s="83">
        <f>G1021</f>
        <v>326.7</v>
      </c>
      <c r="H1020" s="258">
        <f t="shared" si="143"/>
        <v>0.1723373951574616</v>
      </c>
      <c r="I1020" s="124"/>
      <c r="J1020" s="124"/>
      <c r="K1020" s="124"/>
      <c r="L1020" s="125"/>
      <c r="M1020" s="125"/>
    </row>
    <row r="1021" spans="1:13" s="28" customFormat="1" ht="31.5" x14ac:dyDescent="0.2">
      <c r="A1021" s="81" t="s">
        <v>26</v>
      </c>
      <c r="B1021" s="31" t="s">
        <v>619</v>
      </c>
      <c r="C1021" s="31" t="s">
        <v>650</v>
      </c>
      <c r="D1021" s="32" t="s">
        <v>656</v>
      </c>
      <c r="E1021" s="31" t="s">
        <v>37</v>
      </c>
      <c r="F1021" s="83">
        <v>1895.7</v>
      </c>
      <c r="G1021" s="83">
        <v>326.7</v>
      </c>
      <c r="H1021" s="258">
        <f t="shared" si="143"/>
        <v>0.1723373951574616</v>
      </c>
      <c r="I1021" s="124"/>
      <c r="J1021" s="124"/>
      <c r="K1021" s="124"/>
      <c r="L1021" s="125"/>
      <c r="M1021" s="125"/>
    </row>
    <row r="1022" spans="1:13" s="28" customFormat="1" ht="31.5" hidden="1" x14ac:dyDescent="0.2">
      <c r="A1022" s="81" t="s">
        <v>150</v>
      </c>
      <c r="B1022" s="31" t="s">
        <v>619</v>
      </c>
      <c r="C1022" s="31" t="s">
        <v>650</v>
      </c>
      <c r="D1022" s="32" t="s">
        <v>656</v>
      </c>
      <c r="E1022" s="31" t="s">
        <v>151</v>
      </c>
      <c r="F1022" s="83">
        <f>F1023</f>
        <v>0</v>
      </c>
      <c r="G1022" s="83">
        <f>G1023</f>
        <v>0</v>
      </c>
      <c r="H1022" s="258" t="e">
        <f t="shared" si="143"/>
        <v>#DIV/0!</v>
      </c>
      <c r="I1022" s="124"/>
      <c r="J1022" s="124"/>
      <c r="K1022" s="124"/>
      <c r="L1022" s="125"/>
      <c r="M1022" s="125"/>
    </row>
    <row r="1023" spans="1:13" s="28" customFormat="1" hidden="1" x14ac:dyDescent="0.2">
      <c r="A1023" s="81" t="s">
        <v>152</v>
      </c>
      <c r="B1023" s="31" t="s">
        <v>619</v>
      </c>
      <c r="C1023" s="31" t="s">
        <v>650</v>
      </c>
      <c r="D1023" s="32" t="s">
        <v>656</v>
      </c>
      <c r="E1023" s="31" t="s">
        <v>153</v>
      </c>
      <c r="F1023" s="83"/>
      <c r="G1023" s="83"/>
      <c r="H1023" s="258" t="e">
        <f t="shared" si="143"/>
        <v>#DIV/0!</v>
      </c>
      <c r="I1023" s="124"/>
      <c r="J1023" s="124"/>
      <c r="K1023" s="124"/>
      <c r="L1023" s="125"/>
      <c r="M1023" s="125"/>
    </row>
    <row r="1024" spans="1:13" s="28" customFormat="1" hidden="1" x14ac:dyDescent="0.2">
      <c r="A1024" s="81" t="s">
        <v>29</v>
      </c>
      <c r="B1024" s="31" t="s">
        <v>619</v>
      </c>
      <c r="C1024" s="31" t="s">
        <v>650</v>
      </c>
      <c r="D1024" s="32" t="s">
        <v>656</v>
      </c>
      <c r="E1024" s="31" t="s">
        <v>130</v>
      </c>
      <c r="F1024" s="83">
        <f>F1025</f>
        <v>0</v>
      </c>
      <c r="G1024" s="83">
        <f>G1025</f>
        <v>0</v>
      </c>
      <c r="H1024" s="258" t="e">
        <f t="shared" si="143"/>
        <v>#DIV/0!</v>
      </c>
      <c r="I1024" s="124"/>
      <c r="J1024" s="124"/>
      <c r="K1024" s="124"/>
      <c r="L1024" s="125"/>
      <c r="M1024" s="125"/>
    </row>
    <row r="1025" spans="1:13" s="28" customFormat="1" hidden="1" x14ac:dyDescent="0.2">
      <c r="A1025" s="81" t="s">
        <v>50</v>
      </c>
      <c r="B1025" s="31" t="s">
        <v>619</v>
      </c>
      <c r="C1025" s="31" t="s">
        <v>650</v>
      </c>
      <c r="D1025" s="32" t="s">
        <v>656</v>
      </c>
      <c r="E1025" s="31" t="s">
        <v>277</v>
      </c>
      <c r="F1025" s="83">
        <v>0</v>
      </c>
      <c r="G1025" s="83">
        <v>0</v>
      </c>
      <c r="H1025" s="258" t="e">
        <f t="shared" si="143"/>
        <v>#DIV/0!</v>
      </c>
      <c r="I1025" s="124"/>
      <c r="J1025" s="124"/>
      <c r="K1025" s="124"/>
      <c r="L1025" s="125"/>
      <c r="M1025" s="125"/>
    </row>
    <row r="1026" spans="1:13" s="28" customFormat="1" ht="47.25" hidden="1" x14ac:dyDescent="0.2">
      <c r="A1026" s="81" t="s">
        <v>657</v>
      </c>
      <c r="B1026" s="31" t="s">
        <v>619</v>
      </c>
      <c r="C1026" s="31" t="s">
        <v>650</v>
      </c>
      <c r="D1026" s="32" t="s">
        <v>658</v>
      </c>
      <c r="E1026" s="31"/>
      <c r="F1026" s="83">
        <f>F1027+F1029</f>
        <v>0</v>
      </c>
      <c r="G1026" s="83">
        <f>G1027+G1029</f>
        <v>0</v>
      </c>
      <c r="H1026" s="258" t="e">
        <f t="shared" si="143"/>
        <v>#DIV/0!</v>
      </c>
      <c r="I1026" s="124"/>
      <c r="J1026" s="124"/>
      <c r="K1026" s="124"/>
      <c r="L1026" s="125"/>
      <c r="M1026" s="125"/>
    </row>
    <row r="1027" spans="1:13" s="28" customFormat="1" ht="78.75" hidden="1" x14ac:dyDescent="0.2">
      <c r="A1027" s="81" t="s">
        <v>23</v>
      </c>
      <c r="B1027" s="31" t="s">
        <v>619</v>
      </c>
      <c r="C1027" s="31" t="s">
        <v>650</v>
      </c>
      <c r="D1027" s="32" t="s">
        <v>658</v>
      </c>
      <c r="E1027" s="31" t="s">
        <v>43</v>
      </c>
      <c r="F1027" s="83">
        <f>F1028</f>
        <v>0</v>
      </c>
      <c r="G1027" s="83">
        <f>G1028</f>
        <v>0</v>
      </c>
      <c r="H1027" s="258" t="e">
        <f t="shared" si="143"/>
        <v>#DIV/0!</v>
      </c>
      <c r="I1027" s="124"/>
      <c r="J1027" s="124"/>
      <c r="K1027" s="124"/>
      <c r="L1027" s="125"/>
      <c r="M1027" s="125"/>
    </row>
    <row r="1028" spans="1:13" s="28" customFormat="1" hidden="1" x14ac:dyDescent="0.2">
      <c r="A1028" s="81" t="s">
        <v>142</v>
      </c>
      <c r="B1028" s="31" t="s">
        <v>619</v>
      </c>
      <c r="C1028" s="31" t="s">
        <v>650</v>
      </c>
      <c r="D1028" s="32" t="s">
        <v>658</v>
      </c>
      <c r="E1028" s="31" t="s">
        <v>143</v>
      </c>
      <c r="F1028" s="83"/>
      <c r="G1028" s="83"/>
      <c r="H1028" s="258" t="e">
        <f t="shared" si="143"/>
        <v>#DIV/0!</v>
      </c>
      <c r="I1028" s="124"/>
      <c r="J1028" s="124"/>
      <c r="K1028" s="124"/>
      <c r="L1028" s="125"/>
      <c r="M1028" s="125"/>
    </row>
    <row r="1029" spans="1:13" s="28" customFormat="1" hidden="1" x14ac:dyDescent="0.2">
      <c r="A1029" s="81" t="s">
        <v>29</v>
      </c>
      <c r="B1029" s="31" t="s">
        <v>619</v>
      </c>
      <c r="C1029" s="31" t="s">
        <v>650</v>
      </c>
      <c r="D1029" s="32" t="s">
        <v>659</v>
      </c>
      <c r="E1029" s="31" t="s">
        <v>130</v>
      </c>
      <c r="F1029" s="83">
        <f>F1030</f>
        <v>0</v>
      </c>
      <c r="G1029" s="83">
        <f>G1030</f>
        <v>0</v>
      </c>
      <c r="H1029" s="258" t="e">
        <f t="shared" si="143"/>
        <v>#DIV/0!</v>
      </c>
      <c r="I1029" s="124"/>
      <c r="J1029" s="124"/>
      <c r="K1029" s="124"/>
      <c r="L1029" s="125"/>
      <c r="M1029" s="125"/>
    </row>
    <row r="1030" spans="1:13" s="28" customFormat="1" hidden="1" x14ac:dyDescent="0.2">
      <c r="A1030" s="81" t="s">
        <v>50</v>
      </c>
      <c r="B1030" s="31" t="s">
        <v>619</v>
      </c>
      <c r="C1030" s="31" t="s">
        <v>650</v>
      </c>
      <c r="D1030" s="32" t="s">
        <v>660</v>
      </c>
      <c r="E1030" s="31" t="s">
        <v>277</v>
      </c>
      <c r="F1030" s="83"/>
      <c r="G1030" s="83"/>
      <c r="H1030" s="258" t="e">
        <f t="shared" si="143"/>
        <v>#DIV/0!</v>
      </c>
      <c r="I1030" s="124"/>
      <c r="J1030" s="124"/>
      <c r="K1030" s="124"/>
      <c r="L1030" s="125"/>
      <c r="M1030" s="125"/>
    </row>
    <row r="1031" spans="1:13" s="28" customFormat="1" ht="78.75" hidden="1" x14ac:dyDescent="0.2">
      <c r="A1031" s="81" t="s">
        <v>661</v>
      </c>
      <c r="B1031" s="31" t="s">
        <v>619</v>
      </c>
      <c r="C1031" s="31" t="s">
        <v>650</v>
      </c>
      <c r="D1031" s="32" t="s">
        <v>662</v>
      </c>
      <c r="E1031" s="31"/>
      <c r="F1031" s="83">
        <f>F1032</f>
        <v>0</v>
      </c>
      <c r="G1031" s="83">
        <f>G1032</f>
        <v>0</v>
      </c>
      <c r="H1031" s="258" t="e">
        <f t="shared" si="143"/>
        <v>#DIV/0!</v>
      </c>
      <c r="I1031" s="124"/>
      <c r="J1031" s="124"/>
      <c r="K1031" s="124"/>
      <c r="L1031" s="125"/>
      <c r="M1031" s="125"/>
    </row>
    <row r="1032" spans="1:13" s="28" customFormat="1" ht="78.75" hidden="1" x14ac:dyDescent="0.2">
      <c r="A1032" s="81" t="s">
        <v>23</v>
      </c>
      <c r="B1032" s="31" t="s">
        <v>619</v>
      </c>
      <c r="C1032" s="31" t="s">
        <v>650</v>
      </c>
      <c r="D1032" s="32" t="s">
        <v>662</v>
      </c>
      <c r="E1032" s="31" t="s">
        <v>43</v>
      </c>
      <c r="F1032" s="83">
        <f>F1033</f>
        <v>0</v>
      </c>
      <c r="G1032" s="83">
        <f>G1033</f>
        <v>0</v>
      </c>
      <c r="H1032" s="258" t="e">
        <f t="shared" si="143"/>
        <v>#DIV/0!</v>
      </c>
      <c r="I1032" s="124"/>
      <c r="J1032" s="124"/>
      <c r="K1032" s="124"/>
      <c r="L1032" s="125"/>
      <c r="M1032" s="125"/>
    </row>
    <row r="1033" spans="1:13" s="28" customFormat="1" hidden="1" x14ac:dyDescent="0.2">
      <c r="A1033" s="81" t="s">
        <v>142</v>
      </c>
      <c r="B1033" s="31" t="s">
        <v>619</v>
      </c>
      <c r="C1033" s="31" t="s">
        <v>650</v>
      </c>
      <c r="D1033" s="32" t="s">
        <v>662</v>
      </c>
      <c r="E1033" s="31" t="s">
        <v>143</v>
      </c>
      <c r="F1033" s="83"/>
      <c r="G1033" s="83"/>
      <c r="H1033" s="258" t="e">
        <f t="shared" si="143"/>
        <v>#DIV/0!</v>
      </c>
      <c r="I1033" s="124"/>
      <c r="J1033" s="124"/>
      <c r="K1033" s="124"/>
      <c r="L1033" s="125"/>
      <c r="M1033" s="125"/>
    </row>
    <row r="1034" spans="1:13" s="28" customFormat="1" ht="188.45" customHeight="1" x14ac:dyDescent="0.2">
      <c r="A1034" s="133" t="s">
        <v>638</v>
      </c>
      <c r="B1034" s="31" t="s">
        <v>619</v>
      </c>
      <c r="C1034" s="31" t="s">
        <v>650</v>
      </c>
      <c r="D1034" s="32" t="s">
        <v>639</v>
      </c>
      <c r="E1034" s="31"/>
      <c r="F1034" s="83">
        <f>F1035+F1037</f>
        <v>5333.8</v>
      </c>
      <c r="G1034" s="83">
        <f>G1035+G1037</f>
        <v>1251.6000000000001</v>
      </c>
      <c r="H1034" s="258">
        <f t="shared" si="143"/>
        <v>0.23465446773407328</v>
      </c>
      <c r="I1034" s="124"/>
      <c r="J1034" s="124"/>
      <c r="K1034" s="124"/>
      <c r="L1034" s="125"/>
      <c r="M1034" s="125"/>
    </row>
    <row r="1035" spans="1:13" s="28" customFormat="1" ht="31.5" x14ac:dyDescent="0.2">
      <c r="A1035" s="81" t="s">
        <v>25</v>
      </c>
      <c r="B1035" s="31" t="s">
        <v>619</v>
      </c>
      <c r="C1035" s="31" t="s">
        <v>650</v>
      </c>
      <c r="D1035" s="32" t="s">
        <v>639</v>
      </c>
      <c r="E1035" s="31" t="s">
        <v>36</v>
      </c>
      <c r="F1035" s="83">
        <f>F1036</f>
        <v>4983.8</v>
      </c>
      <c r="G1035" s="83">
        <f>G1036</f>
        <v>1137.4000000000001</v>
      </c>
      <c r="H1035" s="258">
        <f t="shared" si="143"/>
        <v>0.22821943095629843</v>
      </c>
      <c r="I1035" s="124"/>
      <c r="J1035" s="124"/>
      <c r="K1035" s="124"/>
      <c r="L1035" s="125"/>
      <c r="M1035" s="125"/>
    </row>
    <row r="1036" spans="1:13" s="28" customFormat="1" ht="31.5" x14ac:dyDescent="0.2">
      <c r="A1036" s="81" t="s">
        <v>26</v>
      </c>
      <c r="B1036" s="31" t="s">
        <v>619</v>
      </c>
      <c r="C1036" s="31" t="s">
        <v>650</v>
      </c>
      <c r="D1036" s="32" t="s">
        <v>639</v>
      </c>
      <c r="E1036" s="31" t="s">
        <v>37</v>
      </c>
      <c r="F1036" s="83">
        <v>4983.8</v>
      </c>
      <c r="G1036" s="83">
        <v>1137.4000000000001</v>
      </c>
      <c r="H1036" s="258">
        <f t="shared" si="143"/>
        <v>0.22821943095629843</v>
      </c>
      <c r="I1036" s="124"/>
      <c r="J1036" s="124"/>
      <c r="K1036" s="124"/>
      <c r="L1036" s="125"/>
      <c r="M1036" s="125"/>
    </row>
    <row r="1037" spans="1:13" s="28" customFormat="1" x14ac:dyDescent="0.2">
      <c r="A1037" s="81" t="s">
        <v>27</v>
      </c>
      <c r="B1037" s="31" t="s">
        <v>619</v>
      </c>
      <c r="C1037" s="31" t="s">
        <v>650</v>
      </c>
      <c r="D1037" s="32" t="s">
        <v>639</v>
      </c>
      <c r="E1037" s="31" t="s">
        <v>155</v>
      </c>
      <c r="F1037" s="83">
        <f>F1038</f>
        <v>350</v>
      </c>
      <c r="G1037" s="83">
        <f>G1038</f>
        <v>114.2</v>
      </c>
      <c r="H1037" s="258">
        <f t="shared" si="143"/>
        <v>0.32628571428571429</v>
      </c>
      <c r="I1037" s="124"/>
      <c r="J1037" s="124"/>
      <c r="K1037" s="124"/>
      <c r="L1037" s="125"/>
      <c r="M1037" s="125"/>
    </row>
    <row r="1038" spans="1:13" s="28" customFormat="1" ht="31.5" x14ac:dyDescent="0.2">
      <c r="A1038" s="133" t="s">
        <v>185</v>
      </c>
      <c r="B1038" s="31" t="s">
        <v>619</v>
      </c>
      <c r="C1038" s="31" t="s">
        <v>650</v>
      </c>
      <c r="D1038" s="32" t="s">
        <v>639</v>
      </c>
      <c r="E1038" s="100" t="s">
        <v>550</v>
      </c>
      <c r="F1038" s="83">
        <f>330.6+19.4</f>
        <v>350</v>
      </c>
      <c r="G1038" s="83">
        <v>114.2</v>
      </c>
      <c r="H1038" s="258">
        <f t="shared" si="143"/>
        <v>0.32628571428571429</v>
      </c>
      <c r="I1038" s="124"/>
      <c r="J1038" s="124"/>
      <c r="K1038" s="124"/>
      <c r="L1038" s="125"/>
      <c r="M1038" s="125"/>
    </row>
    <row r="1039" spans="1:13" s="28" customFormat="1" ht="31.5" hidden="1" x14ac:dyDescent="0.2">
      <c r="A1039" s="30" t="s">
        <v>150</v>
      </c>
      <c r="B1039" s="31" t="s">
        <v>619</v>
      </c>
      <c r="C1039" s="31" t="s">
        <v>650</v>
      </c>
      <c r="D1039" s="32" t="s">
        <v>639</v>
      </c>
      <c r="E1039" s="31" t="s">
        <v>151</v>
      </c>
      <c r="F1039" s="83">
        <f>F1040</f>
        <v>0</v>
      </c>
      <c r="G1039" s="83">
        <f>G1040</f>
        <v>0</v>
      </c>
      <c r="H1039" s="258" t="e">
        <f t="shared" si="143"/>
        <v>#DIV/0!</v>
      </c>
      <c r="I1039" s="124"/>
      <c r="J1039" s="124"/>
      <c r="K1039" s="124"/>
      <c r="L1039" s="125"/>
      <c r="M1039" s="125"/>
    </row>
    <row r="1040" spans="1:13" s="28" customFormat="1" hidden="1" x14ac:dyDescent="0.2">
      <c r="A1040" s="30" t="s">
        <v>152</v>
      </c>
      <c r="B1040" s="31" t="s">
        <v>619</v>
      </c>
      <c r="C1040" s="31" t="s">
        <v>650</v>
      </c>
      <c r="D1040" s="32" t="s">
        <v>639</v>
      </c>
      <c r="E1040" s="31" t="s">
        <v>153</v>
      </c>
      <c r="F1040" s="83"/>
      <c r="G1040" s="83"/>
      <c r="H1040" s="258" t="e">
        <f t="shared" si="143"/>
        <v>#DIV/0!</v>
      </c>
      <c r="I1040" s="124"/>
      <c r="J1040" s="124"/>
      <c r="K1040" s="124"/>
      <c r="L1040" s="125"/>
      <c r="M1040" s="125"/>
    </row>
    <row r="1041" spans="1:13" s="28" customFormat="1" hidden="1" x14ac:dyDescent="0.2">
      <c r="A1041" s="81" t="s">
        <v>29</v>
      </c>
      <c r="B1041" s="31" t="s">
        <v>619</v>
      </c>
      <c r="C1041" s="31" t="s">
        <v>650</v>
      </c>
      <c r="D1041" s="32" t="s">
        <v>639</v>
      </c>
      <c r="E1041" s="31" t="s">
        <v>130</v>
      </c>
      <c r="F1041" s="83">
        <f>F1042</f>
        <v>0</v>
      </c>
      <c r="G1041" s="83">
        <f>G1042</f>
        <v>0</v>
      </c>
      <c r="H1041" s="258" t="e">
        <f t="shared" si="143"/>
        <v>#DIV/0!</v>
      </c>
      <c r="I1041" s="124"/>
      <c r="J1041" s="124"/>
      <c r="K1041" s="124"/>
      <c r="L1041" s="125"/>
      <c r="M1041" s="125"/>
    </row>
    <row r="1042" spans="1:13" s="28" customFormat="1" hidden="1" x14ac:dyDescent="0.2">
      <c r="A1042" s="81" t="s">
        <v>50</v>
      </c>
      <c r="B1042" s="31" t="s">
        <v>619</v>
      </c>
      <c r="C1042" s="31" t="s">
        <v>650</v>
      </c>
      <c r="D1042" s="32" t="s">
        <v>639</v>
      </c>
      <c r="E1042" s="31" t="s">
        <v>277</v>
      </c>
      <c r="F1042" s="83">
        <f>1353.9-1353.9</f>
        <v>0</v>
      </c>
      <c r="G1042" s="83">
        <f>1353.9-1353.9</f>
        <v>0</v>
      </c>
      <c r="H1042" s="258" t="e">
        <f t="shared" si="143"/>
        <v>#DIV/0!</v>
      </c>
      <c r="I1042" s="124"/>
      <c r="J1042" s="124"/>
      <c r="K1042" s="124"/>
      <c r="L1042" s="125"/>
      <c r="M1042" s="125"/>
    </row>
    <row r="1043" spans="1:13" s="28" customFormat="1" ht="33" hidden="1" customHeight="1" x14ac:dyDescent="0.2">
      <c r="A1043" s="81" t="s">
        <v>663</v>
      </c>
      <c r="B1043" s="31" t="s">
        <v>619</v>
      </c>
      <c r="C1043" s="31" t="s">
        <v>650</v>
      </c>
      <c r="D1043" s="32" t="s">
        <v>664</v>
      </c>
      <c r="E1043" s="31"/>
      <c r="F1043" s="83">
        <f>F1044</f>
        <v>0</v>
      </c>
      <c r="G1043" s="83">
        <f>G1044</f>
        <v>0</v>
      </c>
      <c r="H1043" s="258" t="e">
        <f t="shared" si="143"/>
        <v>#DIV/0!</v>
      </c>
      <c r="I1043" s="124"/>
      <c r="J1043" s="124"/>
      <c r="K1043" s="124"/>
      <c r="L1043" s="125"/>
      <c r="M1043" s="125"/>
    </row>
    <row r="1044" spans="1:13" s="28" customFormat="1" ht="31.5" hidden="1" x14ac:dyDescent="0.2">
      <c r="A1044" s="81" t="s">
        <v>25</v>
      </c>
      <c r="B1044" s="31" t="s">
        <v>619</v>
      </c>
      <c r="C1044" s="31" t="s">
        <v>650</v>
      </c>
      <c r="D1044" s="32" t="s">
        <v>664</v>
      </c>
      <c r="E1044" s="31" t="s">
        <v>36</v>
      </c>
      <c r="F1044" s="83">
        <f>F1045</f>
        <v>0</v>
      </c>
      <c r="G1044" s="83">
        <f>G1045</f>
        <v>0</v>
      </c>
      <c r="H1044" s="258" t="e">
        <f t="shared" si="143"/>
        <v>#DIV/0!</v>
      </c>
      <c r="I1044" s="124"/>
      <c r="J1044" s="124"/>
      <c r="K1044" s="124"/>
      <c r="L1044" s="125"/>
      <c r="M1044" s="125"/>
    </row>
    <row r="1045" spans="1:13" s="28" customFormat="1" ht="31.5" hidden="1" x14ac:dyDescent="0.2">
      <c r="A1045" s="81" t="s">
        <v>26</v>
      </c>
      <c r="B1045" s="31" t="s">
        <v>619</v>
      </c>
      <c r="C1045" s="31" t="s">
        <v>650</v>
      </c>
      <c r="D1045" s="32" t="s">
        <v>664</v>
      </c>
      <c r="E1045" s="31" t="s">
        <v>37</v>
      </c>
      <c r="F1045" s="83"/>
      <c r="G1045" s="83"/>
      <c r="H1045" s="258" t="e">
        <f t="shared" si="143"/>
        <v>#DIV/0!</v>
      </c>
      <c r="I1045" s="124"/>
      <c r="J1045" s="124"/>
      <c r="K1045" s="124"/>
      <c r="L1045" s="125"/>
      <c r="M1045" s="125"/>
    </row>
    <row r="1046" spans="1:13" s="28" customFormat="1" ht="47.25" hidden="1" x14ac:dyDescent="0.2">
      <c r="A1046" s="133" t="s">
        <v>665</v>
      </c>
      <c r="B1046" s="31" t="s">
        <v>619</v>
      </c>
      <c r="C1046" s="31" t="s">
        <v>650</v>
      </c>
      <c r="D1046" s="32" t="s">
        <v>666</v>
      </c>
      <c r="E1046" s="31"/>
      <c r="F1046" s="83">
        <f>F1047+F1049</f>
        <v>0</v>
      </c>
      <c r="G1046" s="83">
        <f>G1047+G1049</f>
        <v>0</v>
      </c>
      <c r="H1046" s="258" t="e">
        <f t="shared" si="143"/>
        <v>#DIV/0!</v>
      </c>
      <c r="I1046" s="124"/>
      <c r="J1046" s="124"/>
      <c r="K1046" s="124"/>
      <c r="L1046" s="125"/>
      <c r="M1046" s="125"/>
    </row>
    <row r="1047" spans="1:13" s="28" customFormat="1" hidden="1" x14ac:dyDescent="0.2">
      <c r="A1047" s="81" t="s">
        <v>27</v>
      </c>
      <c r="B1047" s="31" t="s">
        <v>619</v>
      </c>
      <c r="C1047" s="31" t="s">
        <v>650</v>
      </c>
      <c r="D1047" s="32" t="s">
        <v>666</v>
      </c>
      <c r="E1047" s="31" t="s">
        <v>155</v>
      </c>
      <c r="F1047" s="83">
        <f>F1048</f>
        <v>0</v>
      </c>
      <c r="G1047" s="83">
        <f>G1048</f>
        <v>0</v>
      </c>
      <c r="H1047" s="258" t="e">
        <f t="shared" ref="H1047:H1110" si="144">G1047/F1047</f>
        <v>#DIV/0!</v>
      </c>
      <c r="I1047" s="124"/>
      <c r="J1047" s="124"/>
      <c r="K1047" s="124"/>
      <c r="L1047" s="125"/>
      <c r="M1047" s="125"/>
    </row>
    <row r="1048" spans="1:13" s="28" customFormat="1" hidden="1" x14ac:dyDescent="0.2">
      <c r="A1048" s="81" t="s">
        <v>156</v>
      </c>
      <c r="B1048" s="31" t="s">
        <v>619</v>
      </c>
      <c r="C1048" s="31" t="s">
        <v>650</v>
      </c>
      <c r="D1048" s="32" t="s">
        <v>666</v>
      </c>
      <c r="E1048" s="31" t="s">
        <v>157</v>
      </c>
      <c r="F1048" s="83"/>
      <c r="G1048" s="83"/>
      <c r="H1048" s="258" t="e">
        <f t="shared" si="144"/>
        <v>#DIV/0!</v>
      </c>
      <c r="I1048" s="124"/>
      <c r="J1048" s="124"/>
      <c r="K1048" s="124"/>
      <c r="L1048" s="125"/>
      <c r="M1048" s="125"/>
    </row>
    <row r="1049" spans="1:13" s="28" customFormat="1" hidden="1" x14ac:dyDescent="0.2">
      <c r="A1049" s="81" t="s">
        <v>27</v>
      </c>
      <c r="B1049" s="31" t="s">
        <v>619</v>
      </c>
      <c r="C1049" s="31" t="s">
        <v>650</v>
      </c>
      <c r="D1049" s="32" t="s">
        <v>666</v>
      </c>
      <c r="E1049" s="31" t="s">
        <v>155</v>
      </c>
      <c r="F1049" s="83">
        <f>F1050</f>
        <v>0</v>
      </c>
      <c r="G1049" s="83">
        <f>G1050</f>
        <v>0</v>
      </c>
      <c r="H1049" s="258" t="e">
        <f t="shared" si="144"/>
        <v>#DIV/0!</v>
      </c>
      <c r="I1049" s="124"/>
      <c r="J1049" s="124"/>
      <c r="K1049" s="124"/>
      <c r="L1049" s="125"/>
      <c r="M1049" s="125"/>
    </row>
    <row r="1050" spans="1:13" s="28" customFormat="1" hidden="1" x14ac:dyDescent="0.2">
      <c r="A1050" s="81" t="s">
        <v>667</v>
      </c>
      <c r="B1050" s="31" t="s">
        <v>619</v>
      </c>
      <c r="C1050" s="31" t="s">
        <v>650</v>
      </c>
      <c r="D1050" s="32" t="s">
        <v>666</v>
      </c>
      <c r="E1050" s="100" t="s">
        <v>668</v>
      </c>
      <c r="F1050" s="83"/>
      <c r="G1050" s="83"/>
      <c r="H1050" s="258" t="e">
        <f t="shared" si="144"/>
        <v>#DIV/0!</v>
      </c>
      <c r="I1050" s="124"/>
      <c r="J1050" s="124"/>
      <c r="K1050" s="124"/>
      <c r="L1050" s="125"/>
      <c r="M1050" s="125"/>
    </row>
    <row r="1051" spans="1:13" s="28" customFormat="1" ht="47.25" x14ac:dyDescent="0.2">
      <c r="A1051" s="133" t="s">
        <v>669</v>
      </c>
      <c r="B1051" s="31" t="s">
        <v>619</v>
      </c>
      <c r="C1051" s="31" t="s">
        <v>650</v>
      </c>
      <c r="D1051" s="32" t="s">
        <v>670</v>
      </c>
      <c r="E1051" s="31"/>
      <c r="F1051" s="83">
        <f>F1052+F1054+F1056</f>
        <v>1016</v>
      </c>
      <c r="G1051" s="83">
        <f>G1052+G1054+G1056</f>
        <v>302.10000000000002</v>
      </c>
      <c r="H1051" s="258">
        <f t="shared" si="144"/>
        <v>0.29734251968503939</v>
      </c>
      <c r="I1051" s="124"/>
      <c r="J1051" s="124"/>
      <c r="K1051" s="124"/>
      <c r="L1051" s="125"/>
      <c r="M1051" s="125"/>
    </row>
    <row r="1052" spans="1:13" s="28" customFormat="1" x14ac:dyDescent="0.2">
      <c r="A1052" s="81" t="s">
        <v>27</v>
      </c>
      <c r="B1052" s="31" t="s">
        <v>619</v>
      </c>
      <c r="C1052" s="31" t="s">
        <v>650</v>
      </c>
      <c r="D1052" s="32" t="s">
        <v>670</v>
      </c>
      <c r="E1052" s="31" t="s">
        <v>155</v>
      </c>
      <c r="F1052" s="83">
        <f>F1053</f>
        <v>1016</v>
      </c>
      <c r="G1052" s="83">
        <f>G1053</f>
        <v>302.10000000000002</v>
      </c>
      <c r="H1052" s="258">
        <f t="shared" si="144"/>
        <v>0.29734251968503939</v>
      </c>
      <c r="I1052" s="124"/>
      <c r="J1052" s="124"/>
      <c r="K1052" s="124"/>
      <c r="L1052" s="125"/>
      <c r="M1052" s="125"/>
    </row>
    <row r="1053" spans="1:13" s="28" customFormat="1" x14ac:dyDescent="0.2">
      <c r="A1053" s="81" t="s">
        <v>667</v>
      </c>
      <c r="B1053" s="31" t="s">
        <v>619</v>
      </c>
      <c r="C1053" s="31" t="s">
        <v>650</v>
      </c>
      <c r="D1053" s="32" t="s">
        <v>670</v>
      </c>
      <c r="E1053" s="100" t="s">
        <v>668</v>
      </c>
      <c r="F1053" s="83">
        <v>1016</v>
      </c>
      <c r="G1053" s="83">
        <v>302.10000000000002</v>
      </c>
      <c r="H1053" s="258">
        <f t="shared" si="144"/>
        <v>0.29734251968503939</v>
      </c>
      <c r="I1053" s="124"/>
      <c r="J1053" s="124"/>
      <c r="K1053" s="124"/>
      <c r="L1053" s="125"/>
      <c r="M1053" s="125"/>
    </row>
    <row r="1054" spans="1:13" s="28" customFormat="1" hidden="1" x14ac:dyDescent="0.2">
      <c r="A1054" s="81" t="s">
        <v>152</v>
      </c>
      <c r="B1054" s="31" t="s">
        <v>619</v>
      </c>
      <c r="C1054" s="31" t="s">
        <v>650</v>
      </c>
      <c r="D1054" s="32" t="s">
        <v>671</v>
      </c>
      <c r="E1054" s="31" t="s">
        <v>151</v>
      </c>
      <c r="F1054" s="83">
        <f>F1055</f>
        <v>0</v>
      </c>
      <c r="G1054" s="83">
        <f>G1055</f>
        <v>0</v>
      </c>
      <c r="H1054" s="258" t="e">
        <f t="shared" si="144"/>
        <v>#DIV/0!</v>
      </c>
      <c r="I1054" s="124"/>
      <c r="J1054" s="124"/>
      <c r="K1054" s="124"/>
      <c r="L1054" s="125"/>
      <c r="M1054" s="125"/>
    </row>
    <row r="1055" spans="1:13" s="28" customFormat="1" hidden="1" x14ac:dyDescent="0.2">
      <c r="A1055" s="81" t="s">
        <v>29</v>
      </c>
      <c r="B1055" s="31" t="s">
        <v>619</v>
      </c>
      <c r="C1055" s="31" t="s">
        <v>650</v>
      </c>
      <c r="D1055" s="32" t="s">
        <v>671</v>
      </c>
      <c r="E1055" s="31" t="s">
        <v>153</v>
      </c>
      <c r="F1055" s="83"/>
      <c r="G1055" s="83"/>
      <c r="H1055" s="258" t="e">
        <f t="shared" si="144"/>
        <v>#DIV/0!</v>
      </c>
      <c r="I1055" s="124"/>
      <c r="J1055" s="124"/>
      <c r="K1055" s="124"/>
      <c r="L1055" s="125"/>
      <c r="M1055" s="125"/>
    </row>
    <row r="1056" spans="1:13" s="28" customFormat="1" hidden="1" x14ac:dyDescent="0.2">
      <c r="A1056" s="81" t="s">
        <v>29</v>
      </c>
      <c r="B1056" s="31" t="s">
        <v>619</v>
      </c>
      <c r="C1056" s="31" t="s">
        <v>650</v>
      </c>
      <c r="D1056" s="32" t="s">
        <v>671</v>
      </c>
      <c r="E1056" s="31" t="s">
        <v>130</v>
      </c>
      <c r="F1056" s="83">
        <f>F1057</f>
        <v>0</v>
      </c>
      <c r="G1056" s="83">
        <f>G1057</f>
        <v>0</v>
      </c>
      <c r="H1056" s="258" t="e">
        <f t="shared" si="144"/>
        <v>#DIV/0!</v>
      </c>
      <c r="I1056" s="124"/>
      <c r="J1056" s="124"/>
      <c r="K1056" s="124"/>
      <c r="L1056" s="125"/>
      <c r="M1056" s="125"/>
    </row>
    <row r="1057" spans="1:13" s="28" customFormat="1" hidden="1" x14ac:dyDescent="0.2">
      <c r="A1057" s="81" t="s">
        <v>50</v>
      </c>
      <c r="B1057" s="31" t="s">
        <v>619</v>
      </c>
      <c r="C1057" s="31" t="s">
        <v>650</v>
      </c>
      <c r="D1057" s="32" t="s">
        <v>671</v>
      </c>
      <c r="E1057" s="31" t="s">
        <v>277</v>
      </c>
      <c r="F1057" s="83"/>
      <c r="G1057" s="83"/>
      <c r="H1057" s="258" t="e">
        <f t="shared" si="144"/>
        <v>#DIV/0!</v>
      </c>
      <c r="I1057" s="124"/>
      <c r="J1057" s="124"/>
      <c r="K1057" s="124"/>
      <c r="L1057" s="125"/>
      <c r="M1057" s="125"/>
    </row>
    <row r="1058" spans="1:13" s="45" customFormat="1" ht="53.45" customHeight="1" x14ac:dyDescent="0.2">
      <c r="A1058" s="112" t="s">
        <v>643</v>
      </c>
      <c r="B1058" s="31" t="s">
        <v>619</v>
      </c>
      <c r="C1058" s="31" t="s">
        <v>650</v>
      </c>
      <c r="D1058" s="59" t="s">
        <v>644</v>
      </c>
      <c r="E1058" s="31"/>
      <c r="F1058" s="83">
        <f>F1059+F1061+F1063</f>
        <v>223.8</v>
      </c>
      <c r="G1058" s="83">
        <f>G1059+G1061+G1063</f>
        <v>84.6</v>
      </c>
      <c r="H1058" s="258">
        <f t="shared" si="144"/>
        <v>0.37801608579088469</v>
      </c>
      <c r="I1058" s="124"/>
      <c r="J1058" s="124"/>
      <c r="K1058" s="124"/>
      <c r="L1058" s="125"/>
      <c r="M1058" s="125"/>
    </row>
    <row r="1059" spans="1:13" s="45" customFormat="1" ht="61.15" customHeight="1" x14ac:dyDescent="0.2">
      <c r="A1059" s="81" t="s">
        <v>23</v>
      </c>
      <c r="B1059" s="31" t="s">
        <v>619</v>
      </c>
      <c r="C1059" s="31" t="s">
        <v>650</v>
      </c>
      <c r="D1059" s="59" t="s">
        <v>644</v>
      </c>
      <c r="E1059" s="31" t="s">
        <v>43</v>
      </c>
      <c r="F1059" s="83">
        <f>F1060</f>
        <v>223.8</v>
      </c>
      <c r="G1059" s="83">
        <f>G1060</f>
        <v>84.6</v>
      </c>
      <c r="H1059" s="258">
        <f t="shared" si="144"/>
        <v>0.37801608579088469</v>
      </c>
      <c r="I1059" s="124"/>
      <c r="J1059" s="124"/>
      <c r="K1059" s="124"/>
      <c r="L1059" s="125"/>
      <c r="M1059" s="125"/>
    </row>
    <row r="1060" spans="1:13" s="72" customFormat="1" ht="21.6" customHeight="1" x14ac:dyDescent="0.2">
      <c r="A1060" s="155" t="s">
        <v>142</v>
      </c>
      <c r="B1060" s="58" t="s">
        <v>619</v>
      </c>
      <c r="C1060" s="58" t="s">
        <v>650</v>
      </c>
      <c r="D1060" s="59" t="s">
        <v>644</v>
      </c>
      <c r="E1060" s="58" t="s">
        <v>143</v>
      </c>
      <c r="F1060" s="82">
        <v>223.8</v>
      </c>
      <c r="G1060" s="82">
        <f>65+19.6</f>
        <v>84.6</v>
      </c>
      <c r="H1060" s="258">
        <f t="shared" si="144"/>
        <v>0.37801608579088469</v>
      </c>
      <c r="I1060" s="124"/>
      <c r="J1060" s="124"/>
      <c r="K1060" s="124"/>
      <c r="L1060" s="125"/>
      <c r="M1060" s="125"/>
    </row>
    <row r="1061" spans="1:13" s="72" customFormat="1" hidden="1" x14ac:dyDescent="0.2">
      <c r="A1061" s="155" t="s">
        <v>152</v>
      </c>
      <c r="B1061" s="58" t="s">
        <v>619</v>
      </c>
      <c r="C1061" s="58" t="s">
        <v>650</v>
      </c>
      <c r="D1061" s="59" t="s">
        <v>672</v>
      </c>
      <c r="E1061" s="58" t="s">
        <v>151</v>
      </c>
      <c r="F1061" s="82">
        <f>F1062</f>
        <v>0</v>
      </c>
      <c r="G1061" s="82">
        <f>G1062</f>
        <v>0</v>
      </c>
      <c r="H1061" s="258" t="e">
        <f t="shared" si="144"/>
        <v>#DIV/0!</v>
      </c>
      <c r="I1061" s="124"/>
      <c r="J1061" s="124"/>
      <c r="K1061" s="124"/>
      <c r="L1061" s="125"/>
      <c r="M1061" s="125"/>
    </row>
    <row r="1062" spans="1:13" s="72" customFormat="1" hidden="1" x14ac:dyDescent="0.2">
      <c r="A1062" s="155" t="s">
        <v>29</v>
      </c>
      <c r="B1062" s="58" t="s">
        <v>619</v>
      </c>
      <c r="C1062" s="58" t="s">
        <v>650</v>
      </c>
      <c r="D1062" s="59" t="s">
        <v>672</v>
      </c>
      <c r="E1062" s="58" t="s">
        <v>153</v>
      </c>
      <c r="F1062" s="82"/>
      <c r="G1062" s="82"/>
      <c r="H1062" s="258" t="e">
        <f t="shared" si="144"/>
        <v>#DIV/0!</v>
      </c>
      <c r="I1062" s="124"/>
      <c r="J1062" s="124"/>
      <c r="K1062" s="124"/>
      <c r="L1062" s="125"/>
      <c r="M1062" s="125"/>
    </row>
    <row r="1063" spans="1:13" s="60" customFormat="1" hidden="1" x14ac:dyDescent="0.2">
      <c r="A1063" s="155" t="s">
        <v>29</v>
      </c>
      <c r="B1063" s="58" t="s">
        <v>619</v>
      </c>
      <c r="C1063" s="58" t="s">
        <v>650</v>
      </c>
      <c r="D1063" s="59" t="s">
        <v>672</v>
      </c>
      <c r="E1063" s="58" t="s">
        <v>130</v>
      </c>
      <c r="F1063" s="82">
        <f>F1064</f>
        <v>0</v>
      </c>
      <c r="G1063" s="82">
        <f>G1064</f>
        <v>0</v>
      </c>
      <c r="H1063" s="258" t="e">
        <f t="shared" si="144"/>
        <v>#DIV/0!</v>
      </c>
      <c r="I1063" s="124"/>
      <c r="J1063" s="124"/>
      <c r="K1063" s="124"/>
      <c r="L1063" s="125"/>
      <c r="M1063" s="125"/>
    </row>
    <row r="1064" spans="1:13" s="60" customFormat="1" hidden="1" x14ac:dyDescent="0.2">
      <c r="A1064" s="155" t="s">
        <v>50</v>
      </c>
      <c r="B1064" s="58" t="s">
        <v>619</v>
      </c>
      <c r="C1064" s="58" t="s">
        <v>650</v>
      </c>
      <c r="D1064" s="59" t="s">
        <v>672</v>
      </c>
      <c r="E1064" s="58" t="s">
        <v>277</v>
      </c>
      <c r="F1064" s="82">
        <f>285-285</f>
        <v>0</v>
      </c>
      <c r="G1064" s="82">
        <f>285-285</f>
        <v>0</v>
      </c>
      <c r="H1064" s="258" t="e">
        <f t="shared" si="144"/>
        <v>#DIV/0!</v>
      </c>
      <c r="I1064" s="124"/>
      <c r="J1064" s="124"/>
      <c r="K1064" s="124"/>
      <c r="L1064" s="125"/>
      <c r="M1064" s="125"/>
    </row>
    <row r="1065" spans="1:13" s="60" customFormat="1" ht="47.25" x14ac:dyDescent="0.2">
      <c r="A1065" s="155" t="s">
        <v>673</v>
      </c>
      <c r="B1065" s="58" t="s">
        <v>619</v>
      </c>
      <c r="C1065" s="58" t="s">
        <v>650</v>
      </c>
      <c r="D1065" s="59" t="s">
        <v>674</v>
      </c>
      <c r="E1065" s="58"/>
      <c r="F1065" s="82">
        <f>F1066</f>
        <v>554.5</v>
      </c>
      <c r="G1065" s="82">
        <f>G1066</f>
        <v>521.4</v>
      </c>
      <c r="H1065" s="258">
        <f t="shared" si="144"/>
        <v>0.9403065825067628</v>
      </c>
      <c r="I1065" s="124"/>
      <c r="J1065" s="124"/>
      <c r="K1065" s="124"/>
      <c r="L1065" s="125"/>
      <c r="M1065" s="125"/>
    </row>
    <row r="1066" spans="1:13" s="60" customFormat="1" ht="31.5" x14ac:dyDescent="0.2">
      <c r="A1066" s="155" t="s">
        <v>25</v>
      </c>
      <c r="B1066" s="58" t="s">
        <v>619</v>
      </c>
      <c r="C1066" s="58" t="s">
        <v>650</v>
      </c>
      <c r="D1066" s="59" t="s">
        <v>674</v>
      </c>
      <c r="E1066" s="58" t="s">
        <v>36</v>
      </c>
      <c r="F1066" s="82">
        <f>F1067</f>
        <v>554.5</v>
      </c>
      <c r="G1066" s="82">
        <f>G1067</f>
        <v>521.4</v>
      </c>
      <c r="H1066" s="258">
        <f t="shared" si="144"/>
        <v>0.9403065825067628</v>
      </c>
      <c r="I1066" s="124"/>
      <c r="J1066" s="124"/>
      <c r="K1066" s="124"/>
      <c r="L1066" s="125"/>
      <c r="M1066" s="125"/>
    </row>
    <row r="1067" spans="1:13" s="60" customFormat="1" ht="31.5" x14ac:dyDescent="0.2">
      <c r="A1067" s="155" t="s">
        <v>26</v>
      </c>
      <c r="B1067" s="58" t="s">
        <v>619</v>
      </c>
      <c r="C1067" s="58" t="s">
        <v>650</v>
      </c>
      <c r="D1067" s="59" t="s">
        <v>674</v>
      </c>
      <c r="E1067" s="58" t="s">
        <v>37</v>
      </c>
      <c r="F1067" s="82">
        <v>554.5</v>
      </c>
      <c r="G1067" s="82">
        <v>521.4</v>
      </c>
      <c r="H1067" s="258">
        <f t="shared" si="144"/>
        <v>0.9403065825067628</v>
      </c>
      <c r="I1067" s="124"/>
      <c r="J1067" s="124"/>
      <c r="K1067" s="124"/>
      <c r="L1067" s="125"/>
      <c r="M1067" s="125"/>
    </row>
    <row r="1068" spans="1:13" s="60" customFormat="1" ht="78.75" x14ac:dyDescent="0.2">
      <c r="A1068" s="155" t="s">
        <v>675</v>
      </c>
      <c r="B1068" s="58" t="s">
        <v>619</v>
      </c>
      <c r="C1068" s="58" t="s">
        <v>650</v>
      </c>
      <c r="D1068" s="59" t="s">
        <v>676</v>
      </c>
      <c r="E1068" s="58"/>
      <c r="F1068" s="82">
        <f>F1069+F1072</f>
        <v>5653.3</v>
      </c>
      <c r="G1068" s="82">
        <f>G1069+G1072</f>
        <v>1241.8000000000002</v>
      </c>
      <c r="H1068" s="258">
        <f t="shared" si="144"/>
        <v>0.21965931402897426</v>
      </c>
      <c r="I1068" s="124"/>
      <c r="J1068" s="124"/>
      <c r="K1068" s="124"/>
      <c r="L1068" s="125"/>
      <c r="M1068" s="125"/>
    </row>
    <row r="1069" spans="1:13" s="60" customFormat="1" ht="63" x14ac:dyDescent="0.2">
      <c r="A1069" s="155" t="s">
        <v>677</v>
      </c>
      <c r="B1069" s="58" t="s">
        <v>619</v>
      </c>
      <c r="C1069" s="58" t="s">
        <v>650</v>
      </c>
      <c r="D1069" s="59" t="s">
        <v>678</v>
      </c>
      <c r="E1069" s="58"/>
      <c r="F1069" s="82">
        <f>F1070</f>
        <v>5653.3</v>
      </c>
      <c r="G1069" s="82">
        <f>G1070</f>
        <v>1241.8000000000002</v>
      </c>
      <c r="H1069" s="258">
        <f t="shared" si="144"/>
        <v>0.21965931402897426</v>
      </c>
      <c r="I1069" s="124"/>
      <c r="J1069" s="124"/>
      <c r="K1069" s="124"/>
      <c r="L1069" s="125"/>
      <c r="M1069" s="125"/>
    </row>
    <row r="1070" spans="1:13" s="60" customFormat="1" ht="66" customHeight="1" x14ac:dyDescent="0.2">
      <c r="A1070" s="81" t="s">
        <v>23</v>
      </c>
      <c r="B1070" s="58" t="s">
        <v>619</v>
      </c>
      <c r="C1070" s="58" t="s">
        <v>650</v>
      </c>
      <c r="D1070" s="59" t="s">
        <v>678</v>
      </c>
      <c r="E1070" s="58" t="s">
        <v>43</v>
      </c>
      <c r="F1070" s="82">
        <f>F1071</f>
        <v>5653.3</v>
      </c>
      <c r="G1070" s="82">
        <f>G1071</f>
        <v>1241.8000000000002</v>
      </c>
      <c r="H1070" s="258">
        <f t="shared" si="144"/>
        <v>0.21965931402897426</v>
      </c>
      <c r="I1070" s="124"/>
      <c r="J1070" s="124"/>
      <c r="K1070" s="124"/>
      <c r="L1070" s="125"/>
      <c r="M1070" s="125"/>
    </row>
    <row r="1071" spans="1:13" s="60" customFormat="1" x14ac:dyDescent="0.2">
      <c r="A1071" s="155" t="s">
        <v>142</v>
      </c>
      <c r="B1071" s="58" t="s">
        <v>619</v>
      </c>
      <c r="C1071" s="58" t="s">
        <v>650</v>
      </c>
      <c r="D1071" s="59" t="s">
        <v>678</v>
      </c>
      <c r="E1071" s="58" t="s">
        <v>143</v>
      </c>
      <c r="F1071" s="82">
        <v>5653.3</v>
      </c>
      <c r="G1071" s="82">
        <f>953.7+288.1</f>
        <v>1241.8000000000002</v>
      </c>
      <c r="H1071" s="258">
        <f t="shared" si="144"/>
        <v>0.21965931402897426</v>
      </c>
      <c r="I1071" s="124"/>
      <c r="J1071" s="124"/>
      <c r="K1071" s="124"/>
      <c r="L1071" s="125"/>
      <c r="M1071" s="125"/>
    </row>
    <row r="1072" spans="1:13" s="60" customFormat="1" ht="63" hidden="1" x14ac:dyDescent="0.2">
      <c r="A1072" s="155" t="s">
        <v>677</v>
      </c>
      <c r="B1072" s="58" t="s">
        <v>619</v>
      </c>
      <c r="C1072" s="58" t="s">
        <v>650</v>
      </c>
      <c r="D1072" s="59" t="s">
        <v>679</v>
      </c>
      <c r="E1072" s="58"/>
      <c r="F1072" s="82">
        <f>F1073</f>
        <v>0</v>
      </c>
      <c r="G1072" s="82">
        <f>G1073</f>
        <v>0</v>
      </c>
      <c r="H1072" s="258" t="e">
        <f t="shared" si="144"/>
        <v>#DIV/0!</v>
      </c>
      <c r="I1072" s="124"/>
      <c r="J1072" s="124"/>
      <c r="K1072" s="124"/>
      <c r="L1072" s="125"/>
      <c r="M1072" s="125"/>
    </row>
    <row r="1073" spans="1:13" s="60" customFormat="1" ht="66" hidden="1" customHeight="1" x14ac:dyDescent="0.2">
      <c r="A1073" s="81" t="s">
        <v>23</v>
      </c>
      <c r="B1073" s="58" t="s">
        <v>619</v>
      </c>
      <c r="C1073" s="58" t="s">
        <v>650</v>
      </c>
      <c r="D1073" s="59" t="s">
        <v>679</v>
      </c>
      <c r="E1073" s="58" t="s">
        <v>43</v>
      </c>
      <c r="F1073" s="82">
        <f>F1074</f>
        <v>0</v>
      </c>
      <c r="G1073" s="82">
        <f>G1074</f>
        <v>0</v>
      </c>
      <c r="H1073" s="258" t="e">
        <f t="shared" si="144"/>
        <v>#DIV/0!</v>
      </c>
      <c r="I1073" s="124"/>
      <c r="J1073" s="124"/>
      <c r="K1073" s="124"/>
      <c r="L1073" s="125"/>
      <c r="M1073" s="125"/>
    </row>
    <row r="1074" spans="1:13" s="60" customFormat="1" hidden="1" x14ac:dyDescent="0.2">
      <c r="A1074" s="155" t="s">
        <v>142</v>
      </c>
      <c r="B1074" s="58" t="s">
        <v>619</v>
      </c>
      <c r="C1074" s="58" t="s">
        <v>650</v>
      </c>
      <c r="D1074" s="59" t="s">
        <v>679</v>
      </c>
      <c r="E1074" s="58" t="s">
        <v>143</v>
      </c>
      <c r="F1074" s="82">
        <v>0</v>
      </c>
      <c r="G1074" s="82">
        <v>0</v>
      </c>
      <c r="H1074" s="258" t="e">
        <f t="shared" si="144"/>
        <v>#DIV/0!</v>
      </c>
      <c r="I1074" s="124"/>
      <c r="J1074" s="124"/>
      <c r="K1074" s="124"/>
      <c r="L1074" s="125"/>
      <c r="M1074" s="125"/>
    </row>
    <row r="1075" spans="1:13" s="60" customFormat="1" ht="63" x14ac:dyDescent="0.2">
      <c r="A1075" s="155" t="s">
        <v>680</v>
      </c>
      <c r="B1075" s="58" t="s">
        <v>619</v>
      </c>
      <c r="C1075" s="58" t="s">
        <v>650</v>
      </c>
      <c r="D1075" s="59" t="s">
        <v>681</v>
      </c>
      <c r="E1075" s="58"/>
      <c r="F1075" s="82">
        <f t="shared" ref="F1075:G1077" si="145">F1076</f>
        <v>3352.2</v>
      </c>
      <c r="G1075" s="82">
        <f t="shared" si="145"/>
        <v>0</v>
      </c>
      <c r="H1075" s="258">
        <f t="shared" si="144"/>
        <v>0</v>
      </c>
      <c r="I1075" s="124"/>
      <c r="J1075" s="124"/>
      <c r="K1075" s="124"/>
      <c r="L1075" s="125"/>
      <c r="M1075" s="125"/>
    </row>
    <row r="1076" spans="1:13" s="60" customFormat="1" ht="47.25" x14ac:dyDescent="0.2">
      <c r="A1076" s="155" t="s">
        <v>682</v>
      </c>
      <c r="B1076" s="58" t="s">
        <v>619</v>
      </c>
      <c r="C1076" s="58" t="s">
        <v>650</v>
      </c>
      <c r="D1076" s="59" t="s">
        <v>683</v>
      </c>
      <c r="E1076" s="58"/>
      <c r="F1076" s="82">
        <f t="shared" si="145"/>
        <v>3352.2</v>
      </c>
      <c r="G1076" s="82">
        <f t="shared" si="145"/>
        <v>0</v>
      </c>
      <c r="H1076" s="258">
        <f t="shared" si="144"/>
        <v>0</v>
      </c>
      <c r="I1076" s="124"/>
      <c r="J1076" s="124"/>
      <c r="K1076" s="124"/>
      <c r="L1076" s="125"/>
      <c r="M1076" s="125"/>
    </row>
    <row r="1077" spans="1:13" s="60" customFormat="1" ht="31.5" x14ac:dyDescent="0.2">
      <c r="A1077" s="155" t="s">
        <v>25</v>
      </c>
      <c r="B1077" s="58" t="s">
        <v>619</v>
      </c>
      <c r="C1077" s="58" t="s">
        <v>650</v>
      </c>
      <c r="D1077" s="59" t="s">
        <v>683</v>
      </c>
      <c r="E1077" s="58" t="s">
        <v>36</v>
      </c>
      <c r="F1077" s="82">
        <f t="shared" si="145"/>
        <v>3352.2</v>
      </c>
      <c r="G1077" s="82">
        <f t="shared" si="145"/>
        <v>0</v>
      </c>
      <c r="H1077" s="258">
        <f t="shared" si="144"/>
        <v>0</v>
      </c>
      <c r="I1077" s="124"/>
      <c r="J1077" s="124"/>
      <c r="K1077" s="124"/>
      <c r="L1077" s="125"/>
      <c r="M1077" s="125"/>
    </row>
    <row r="1078" spans="1:13" s="60" customFormat="1" ht="31.5" x14ac:dyDescent="0.2">
      <c r="A1078" s="155" t="s">
        <v>26</v>
      </c>
      <c r="B1078" s="58" t="s">
        <v>619</v>
      </c>
      <c r="C1078" s="58" t="s">
        <v>650</v>
      </c>
      <c r="D1078" s="59" t="s">
        <v>683</v>
      </c>
      <c r="E1078" s="58" t="s">
        <v>37</v>
      </c>
      <c r="F1078" s="82">
        <v>3352.2</v>
      </c>
      <c r="G1078" s="82">
        <v>0</v>
      </c>
      <c r="H1078" s="258">
        <f t="shared" si="144"/>
        <v>0</v>
      </c>
      <c r="I1078" s="124"/>
      <c r="J1078" s="124"/>
      <c r="K1078" s="124"/>
      <c r="L1078" s="125"/>
      <c r="M1078" s="125"/>
    </row>
    <row r="1079" spans="1:13" s="60" customFormat="1" hidden="1" x14ac:dyDescent="0.2">
      <c r="A1079" s="155" t="s">
        <v>684</v>
      </c>
      <c r="B1079" s="58" t="s">
        <v>619</v>
      </c>
      <c r="C1079" s="58" t="s">
        <v>650</v>
      </c>
      <c r="D1079" s="59" t="s">
        <v>685</v>
      </c>
      <c r="E1079" s="58"/>
      <c r="F1079" s="82">
        <f>F1080+F1083</f>
        <v>0</v>
      </c>
      <c r="G1079" s="82">
        <f>G1080+G1083</f>
        <v>0</v>
      </c>
      <c r="H1079" s="258" t="e">
        <f t="shared" si="144"/>
        <v>#DIV/0!</v>
      </c>
      <c r="I1079" s="124"/>
      <c r="J1079" s="124"/>
      <c r="K1079" s="124"/>
      <c r="L1079" s="125"/>
      <c r="M1079" s="125"/>
    </row>
    <row r="1080" spans="1:13" s="60" customFormat="1" ht="47.25" hidden="1" x14ac:dyDescent="0.2">
      <c r="A1080" s="155" t="s">
        <v>686</v>
      </c>
      <c r="B1080" s="58" t="s">
        <v>619</v>
      </c>
      <c r="C1080" s="58" t="s">
        <v>650</v>
      </c>
      <c r="D1080" s="59" t="s">
        <v>687</v>
      </c>
      <c r="E1080" s="58"/>
      <c r="F1080" s="82">
        <f>F1081</f>
        <v>0</v>
      </c>
      <c r="G1080" s="82">
        <f>G1081</f>
        <v>0</v>
      </c>
      <c r="H1080" s="258" t="e">
        <f t="shared" si="144"/>
        <v>#DIV/0!</v>
      </c>
      <c r="I1080" s="124"/>
      <c r="J1080" s="124"/>
      <c r="K1080" s="124"/>
      <c r="L1080" s="125"/>
      <c r="M1080" s="125"/>
    </row>
    <row r="1081" spans="1:13" s="60" customFormat="1" ht="31.5" hidden="1" x14ac:dyDescent="0.2">
      <c r="A1081" s="155" t="s">
        <v>25</v>
      </c>
      <c r="B1081" s="58" t="s">
        <v>619</v>
      </c>
      <c r="C1081" s="58" t="s">
        <v>650</v>
      </c>
      <c r="D1081" s="59" t="s">
        <v>687</v>
      </c>
      <c r="E1081" s="58" t="s">
        <v>36</v>
      </c>
      <c r="F1081" s="82">
        <f>F1082</f>
        <v>0</v>
      </c>
      <c r="G1081" s="82">
        <f>G1082</f>
        <v>0</v>
      </c>
      <c r="H1081" s="258" t="e">
        <f t="shared" si="144"/>
        <v>#DIV/0!</v>
      </c>
      <c r="I1081" s="124"/>
      <c r="J1081" s="124"/>
      <c r="K1081" s="124"/>
      <c r="L1081" s="125"/>
      <c r="M1081" s="125"/>
    </row>
    <row r="1082" spans="1:13" s="60" customFormat="1" ht="31.5" hidden="1" x14ac:dyDescent="0.2">
      <c r="A1082" s="155" t="s">
        <v>26</v>
      </c>
      <c r="B1082" s="58" t="s">
        <v>619</v>
      </c>
      <c r="C1082" s="58" t="s">
        <v>650</v>
      </c>
      <c r="D1082" s="59" t="s">
        <v>687</v>
      </c>
      <c r="E1082" s="58" t="s">
        <v>37</v>
      </c>
      <c r="F1082" s="82"/>
      <c r="G1082" s="82"/>
      <c r="H1082" s="258" t="e">
        <f t="shared" si="144"/>
        <v>#DIV/0!</v>
      </c>
      <c r="I1082" s="124"/>
      <c r="J1082" s="124"/>
      <c r="K1082" s="124"/>
      <c r="L1082" s="125"/>
      <c r="M1082" s="125"/>
    </row>
    <row r="1083" spans="1:13" s="56" customFormat="1" ht="32.450000000000003" hidden="1" customHeight="1" x14ac:dyDescent="0.2">
      <c r="A1083" s="198" t="s">
        <v>688</v>
      </c>
      <c r="B1083" s="58" t="s">
        <v>619</v>
      </c>
      <c r="C1083" s="58" t="s">
        <v>650</v>
      </c>
      <c r="D1083" s="59" t="s">
        <v>689</v>
      </c>
      <c r="E1083" s="58"/>
      <c r="F1083" s="49">
        <f>F1084</f>
        <v>0</v>
      </c>
      <c r="G1083" s="49">
        <f>G1084</f>
        <v>0</v>
      </c>
      <c r="H1083" s="258" t="e">
        <f t="shared" si="144"/>
        <v>#DIV/0!</v>
      </c>
      <c r="I1083" s="124"/>
      <c r="J1083" s="124"/>
      <c r="K1083" s="124"/>
      <c r="L1083" s="125"/>
      <c r="M1083" s="125"/>
    </row>
    <row r="1084" spans="1:13" s="56" customFormat="1" ht="31.5" hidden="1" x14ac:dyDescent="0.2">
      <c r="A1084" s="155" t="s">
        <v>25</v>
      </c>
      <c r="B1084" s="58" t="s">
        <v>619</v>
      </c>
      <c r="C1084" s="58" t="s">
        <v>650</v>
      </c>
      <c r="D1084" s="59" t="s">
        <v>689</v>
      </c>
      <c r="E1084" s="58" t="s">
        <v>36</v>
      </c>
      <c r="F1084" s="49">
        <f>F1085</f>
        <v>0</v>
      </c>
      <c r="G1084" s="49">
        <f>G1085</f>
        <v>0</v>
      </c>
      <c r="H1084" s="258" t="e">
        <f t="shared" si="144"/>
        <v>#DIV/0!</v>
      </c>
      <c r="I1084" s="124"/>
      <c r="J1084" s="124"/>
      <c r="K1084" s="124"/>
      <c r="L1084" s="125"/>
      <c r="M1084" s="125"/>
    </row>
    <row r="1085" spans="1:13" s="56" customFormat="1" ht="31.5" hidden="1" x14ac:dyDescent="0.2">
      <c r="A1085" s="155" t="s">
        <v>26</v>
      </c>
      <c r="B1085" s="58" t="s">
        <v>619</v>
      </c>
      <c r="C1085" s="58" t="s">
        <v>650</v>
      </c>
      <c r="D1085" s="59" t="s">
        <v>689</v>
      </c>
      <c r="E1085" s="58" t="s">
        <v>37</v>
      </c>
      <c r="F1085" s="49"/>
      <c r="G1085" s="49"/>
      <c r="H1085" s="258" t="e">
        <f t="shared" si="144"/>
        <v>#DIV/0!</v>
      </c>
      <c r="I1085" s="124"/>
      <c r="J1085" s="124"/>
      <c r="K1085" s="124"/>
      <c r="L1085" s="125"/>
      <c r="M1085" s="125"/>
    </row>
    <row r="1086" spans="1:13" s="72" customFormat="1" ht="47.25" x14ac:dyDescent="0.2">
      <c r="A1086" s="120" t="s">
        <v>690</v>
      </c>
      <c r="B1086" s="121" t="s">
        <v>619</v>
      </c>
      <c r="C1086" s="121" t="s">
        <v>650</v>
      </c>
      <c r="D1086" s="122" t="s">
        <v>172</v>
      </c>
      <c r="E1086" s="121"/>
      <c r="F1086" s="84">
        <f>F1087+F1091</f>
        <v>1108.8</v>
      </c>
      <c r="G1086" s="84">
        <f>G1087+G1091</f>
        <v>1108.8</v>
      </c>
      <c r="H1086" s="258">
        <f t="shared" si="144"/>
        <v>1</v>
      </c>
      <c r="I1086" s="124"/>
      <c r="J1086" s="124"/>
      <c r="K1086" s="124"/>
      <c r="L1086" s="125"/>
      <c r="M1086" s="125"/>
    </row>
    <row r="1087" spans="1:13" s="208" customFormat="1" ht="46.9" hidden="1" customHeight="1" x14ac:dyDescent="0.2">
      <c r="A1087" s="103" t="s">
        <v>691</v>
      </c>
      <c r="B1087" s="58" t="s">
        <v>619</v>
      </c>
      <c r="C1087" s="58" t="s">
        <v>650</v>
      </c>
      <c r="D1087" s="59" t="s">
        <v>692</v>
      </c>
      <c r="E1087" s="58"/>
      <c r="F1087" s="82">
        <f t="shared" ref="F1087:G1089" si="146">F1088</f>
        <v>0</v>
      </c>
      <c r="G1087" s="82">
        <f t="shared" si="146"/>
        <v>0</v>
      </c>
      <c r="H1087" s="258" t="e">
        <f t="shared" si="144"/>
        <v>#DIV/0!</v>
      </c>
      <c r="I1087" s="124"/>
      <c r="J1087" s="124"/>
      <c r="K1087" s="124"/>
      <c r="L1087" s="125"/>
      <c r="M1087" s="125"/>
    </row>
    <row r="1088" spans="1:13" s="208" customFormat="1" ht="36" hidden="1" customHeight="1" x14ac:dyDescent="0.2">
      <c r="A1088" s="103" t="s">
        <v>693</v>
      </c>
      <c r="B1088" s="58" t="s">
        <v>619</v>
      </c>
      <c r="C1088" s="58" t="s">
        <v>650</v>
      </c>
      <c r="D1088" s="59" t="s">
        <v>694</v>
      </c>
      <c r="E1088" s="58"/>
      <c r="F1088" s="82">
        <f t="shared" si="146"/>
        <v>0</v>
      </c>
      <c r="G1088" s="82">
        <f t="shared" si="146"/>
        <v>0</v>
      </c>
      <c r="H1088" s="258" t="e">
        <f t="shared" si="144"/>
        <v>#DIV/0!</v>
      </c>
      <c r="I1088" s="124"/>
      <c r="J1088" s="124"/>
      <c r="K1088" s="124"/>
      <c r="L1088" s="125"/>
      <c r="M1088" s="125"/>
    </row>
    <row r="1089" spans="1:13" s="208" customFormat="1" ht="31.5" hidden="1" x14ac:dyDescent="0.2">
      <c r="A1089" s="155" t="s">
        <v>25</v>
      </c>
      <c r="B1089" s="58" t="s">
        <v>619</v>
      </c>
      <c r="C1089" s="58" t="s">
        <v>650</v>
      </c>
      <c r="D1089" s="59" t="s">
        <v>694</v>
      </c>
      <c r="E1089" s="58" t="s">
        <v>36</v>
      </c>
      <c r="F1089" s="82">
        <f t="shared" si="146"/>
        <v>0</v>
      </c>
      <c r="G1089" s="82">
        <f t="shared" si="146"/>
        <v>0</v>
      </c>
      <c r="H1089" s="258" t="e">
        <f t="shared" si="144"/>
        <v>#DIV/0!</v>
      </c>
      <c r="I1089" s="124"/>
      <c r="J1089" s="124"/>
      <c r="K1089" s="124"/>
      <c r="L1089" s="125"/>
      <c r="M1089" s="125"/>
    </row>
    <row r="1090" spans="1:13" s="208" customFormat="1" ht="31.5" hidden="1" x14ac:dyDescent="0.2">
      <c r="A1090" s="155" t="s">
        <v>26</v>
      </c>
      <c r="B1090" s="58" t="s">
        <v>619</v>
      </c>
      <c r="C1090" s="58" t="s">
        <v>650</v>
      </c>
      <c r="D1090" s="59" t="s">
        <v>694</v>
      </c>
      <c r="E1090" s="58" t="s">
        <v>37</v>
      </c>
      <c r="F1090" s="82">
        <v>0</v>
      </c>
      <c r="G1090" s="82">
        <v>0</v>
      </c>
      <c r="H1090" s="258" t="e">
        <f t="shared" si="144"/>
        <v>#DIV/0!</v>
      </c>
      <c r="I1090" s="124"/>
      <c r="J1090" s="124"/>
      <c r="K1090" s="124"/>
      <c r="L1090" s="125"/>
      <c r="M1090" s="125"/>
    </row>
    <row r="1091" spans="1:13" s="60" customFormat="1" ht="46.9" customHeight="1" x14ac:dyDescent="0.2">
      <c r="A1091" s="103" t="s">
        <v>695</v>
      </c>
      <c r="B1091" s="58" t="s">
        <v>619</v>
      </c>
      <c r="C1091" s="58" t="s">
        <v>650</v>
      </c>
      <c r="D1091" s="59" t="s">
        <v>696</v>
      </c>
      <c r="E1091" s="58"/>
      <c r="F1091" s="82">
        <f>F1092+F1095</f>
        <v>1108.8</v>
      </c>
      <c r="G1091" s="82">
        <f>G1092+G1095</f>
        <v>1108.8</v>
      </c>
      <c r="H1091" s="258">
        <f t="shared" si="144"/>
        <v>1</v>
      </c>
      <c r="I1091" s="124"/>
      <c r="J1091" s="124"/>
      <c r="K1091" s="124"/>
      <c r="L1091" s="125"/>
      <c r="M1091" s="125"/>
    </row>
    <row r="1092" spans="1:13" s="60" customFormat="1" ht="47.25" hidden="1" x14ac:dyDescent="0.2">
      <c r="A1092" s="103" t="s">
        <v>697</v>
      </c>
      <c r="B1092" s="58" t="s">
        <v>619</v>
      </c>
      <c r="C1092" s="58" t="s">
        <v>650</v>
      </c>
      <c r="D1092" s="59" t="s">
        <v>698</v>
      </c>
      <c r="E1092" s="58"/>
      <c r="F1092" s="82">
        <f>F1093</f>
        <v>0</v>
      </c>
      <c r="G1092" s="82">
        <f>G1093</f>
        <v>0</v>
      </c>
      <c r="H1092" s="258" t="e">
        <f t="shared" si="144"/>
        <v>#DIV/0!</v>
      </c>
      <c r="I1092" s="124"/>
      <c r="J1092" s="124"/>
      <c r="K1092" s="124"/>
      <c r="L1092" s="125"/>
      <c r="M1092" s="125"/>
    </row>
    <row r="1093" spans="1:13" s="60" customFormat="1" ht="31.5" hidden="1" x14ac:dyDescent="0.2">
      <c r="A1093" s="155" t="s">
        <v>25</v>
      </c>
      <c r="B1093" s="58" t="s">
        <v>619</v>
      </c>
      <c r="C1093" s="58" t="s">
        <v>650</v>
      </c>
      <c r="D1093" s="59" t="s">
        <v>698</v>
      </c>
      <c r="E1093" s="58" t="s">
        <v>36</v>
      </c>
      <c r="F1093" s="82">
        <f>F1094</f>
        <v>0</v>
      </c>
      <c r="G1093" s="82">
        <f>G1094</f>
        <v>0</v>
      </c>
      <c r="H1093" s="258" t="e">
        <f t="shared" si="144"/>
        <v>#DIV/0!</v>
      </c>
      <c r="I1093" s="124"/>
      <c r="J1093" s="124"/>
      <c r="K1093" s="124"/>
      <c r="L1093" s="125"/>
      <c r="M1093" s="125"/>
    </row>
    <row r="1094" spans="1:13" s="60" customFormat="1" ht="31.5" hidden="1" x14ac:dyDescent="0.2">
      <c r="A1094" s="155" t="s">
        <v>26</v>
      </c>
      <c r="B1094" s="58" t="s">
        <v>619</v>
      </c>
      <c r="C1094" s="58" t="s">
        <v>650</v>
      </c>
      <c r="D1094" s="59" t="s">
        <v>698</v>
      </c>
      <c r="E1094" s="58" t="s">
        <v>37</v>
      </c>
      <c r="F1094" s="82"/>
      <c r="G1094" s="82"/>
      <c r="H1094" s="258" t="e">
        <f t="shared" si="144"/>
        <v>#DIV/0!</v>
      </c>
      <c r="I1094" s="124"/>
      <c r="J1094" s="124"/>
      <c r="K1094" s="124"/>
      <c r="L1094" s="125"/>
      <c r="M1094" s="125"/>
    </row>
    <row r="1095" spans="1:13" s="60" customFormat="1" ht="31.5" x14ac:dyDescent="0.2">
      <c r="A1095" s="103" t="s">
        <v>699</v>
      </c>
      <c r="B1095" s="58" t="s">
        <v>619</v>
      </c>
      <c r="C1095" s="58" t="s">
        <v>650</v>
      </c>
      <c r="D1095" s="59" t="s">
        <v>700</v>
      </c>
      <c r="E1095" s="58"/>
      <c r="F1095" s="82">
        <f>F1096</f>
        <v>1108.8</v>
      </c>
      <c r="G1095" s="82">
        <f>G1096</f>
        <v>1108.8</v>
      </c>
      <c r="H1095" s="258">
        <f t="shared" si="144"/>
        <v>1</v>
      </c>
      <c r="I1095" s="124"/>
      <c r="J1095" s="124"/>
      <c r="K1095" s="124"/>
      <c r="L1095" s="125"/>
      <c r="M1095" s="125"/>
    </row>
    <row r="1096" spans="1:13" s="60" customFormat="1" ht="31.5" x14ac:dyDescent="0.2">
      <c r="A1096" s="155" t="s">
        <v>25</v>
      </c>
      <c r="B1096" s="58" t="s">
        <v>619</v>
      </c>
      <c r="C1096" s="58" t="s">
        <v>650</v>
      </c>
      <c r="D1096" s="59" t="s">
        <v>700</v>
      </c>
      <c r="E1096" s="58" t="s">
        <v>36</v>
      </c>
      <c r="F1096" s="82">
        <f>F1097</f>
        <v>1108.8</v>
      </c>
      <c r="G1096" s="82">
        <f>G1097</f>
        <v>1108.8</v>
      </c>
      <c r="H1096" s="258">
        <f t="shared" si="144"/>
        <v>1</v>
      </c>
      <c r="I1096" s="124"/>
      <c r="J1096" s="124"/>
      <c r="K1096" s="124"/>
      <c r="L1096" s="125"/>
      <c r="M1096" s="125"/>
    </row>
    <row r="1097" spans="1:13" s="60" customFormat="1" ht="31.5" x14ac:dyDescent="0.2">
      <c r="A1097" s="155" t="s">
        <v>26</v>
      </c>
      <c r="B1097" s="58" t="s">
        <v>619</v>
      </c>
      <c r="C1097" s="58" t="s">
        <v>650</v>
      </c>
      <c r="D1097" s="59" t="s">
        <v>700</v>
      </c>
      <c r="E1097" s="58" t="s">
        <v>37</v>
      </c>
      <c r="F1097" s="82">
        <v>1108.8</v>
      </c>
      <c r="G1097" s="82">
        <v>1108.8</v>
      </c>
      <c r="H1097" s="258">
        <f t="shared" si="144"/>
        <v>1</v>
      </c>
      <c r="I1097" s="124"/>
      <c r="J1097" s="124"/>
      <c r="K1097" s="124"/>
      <c r="L1097" s="125"/>
      <c r="M1097" s="125"/>
    </row>
    <row r="1098" spans="1:13" s="72" customFormat="1" ht="19.899999999999999" customHeight="1" x14ac:dyDescent="0.2">
      <c r="A1098" s="225" t="s">
        <v>471</v>
      </c>
      <c r="B1098" s="121" t="s">
        <v>619</v>
      </c>
      <c r="C1098" s="121" t="s">
        <v>650</v>
      </c>
      <c r="D1098" s="122" t="s">
        <v>472</v>
      </c>
      <c r="E1098" s="121"/>
      <c r="F1098" s="84">
        <f>F1099+F1103+F1107</f>
        <v>7771.1</v>
      </c>
      <c r="G1098" s="84">
        <f>G1099+G1103+G1107</f>
        <v>4137.7</v>
      </c>
      <c r="H1098" s="258">
        <f t="shared" si="144"/>
        <v>0.53244714390498127</v>
      </c>
      <c r="I1098" s="124"/>
      <c r="J1098" s="124"/>
      <c r="K1098" s="124"/>
      <c r="L1098" s="125"/>
      <c r="M1098" s="125"/>
    </row>
    <row r="1099" spans="1:13" s="60" customFormat="1" ht="19.899999999999999" customHeight="1" x14ac:dyDescent="0.2">
      <c r="A1099" s="155" t="s">
        <v>701</v>
      </c>
      <c r="B1099" s="58" t="s">
        <v>619</v>
      </c>
      <c r="C1099" s="58" t="s">
        <v>650</v>
      </c>
      <c r="D1099" s="59" t="s">
        <v>702</v>
      </c>
      <c r="E1099" s="58"/>
      <c r="F1099" s="82">
        <f t="shared" ref="F1099:G1101" si="147">F1100</f>
        <v>1117.0999999999999</v>
      </c>
      <c r="G1099" s="82">
        <f t="shared" si="147"/>
        <v>398.7</v>
      </c>
      <c r="H1099" s="258">
        <f t="shared" si="144"/>
        <v>0.35690627517679707</v>
      </c>
      <c r="I1099" s="124"/>
      <c r="J1099" s="124"/>
      <c r="K1099" s="124"/>
      <c r="L1099" s="125"/>
      <c r="M1099" s="125"/>
    </row>
    <row r="1100" spans="1:13" s="60" customFormat="1" ht="80.45" customHeight="1" x14ac:dyDescent="0.2">
      <c r="A1100" s="155" t="s">
        <v>703</v>
      </c>
      <c r="B1100" s="58" t="s">
        <v>619</v>
      </c>
      <c r="C1100" s="58" t="s">
        <v>650</v>
      </c>
      <c r="D1100" s="59" t="s">
        <v>704</v>
      </c>
      <c r="E1100" s="58"/>
      <c r="F1100" s="82">
        <f t="shared" si="147"/>
        <v>1117.0999999999999</v>
      </c>
      <c r="G1100" s="82">
        <f t="shared" si="147"/>
        <v>398.7</v>
      </c>
      <c r="H1100" s="258">
        <f t="shared" si="144"/>
        <v>0.35690627517679707</v>
      </c>
      <c r="I1100" s="124"/>
      <c r="J1100" s="124"/>
      <c r="K1100" s="124"/>
      <c r="L1100" s="125"/>
      <c r="M1100" s="125"/>
    </row>
    <row r="1101" spans="1:13" s="60" customFormat="1" ht="31.5" x14ac:dyDescent="0.2">
      <c r="A1101" s="155" t="s">
        <v>25</v>
      </c>
      <c r="B1101" s="58" t="s">
        <v>619</v>
      </c>
      <c r="C1101" s="58" t="s">
        <v>650</v>
      </c>
      <c r="D1101" s="59" t="s">
        <v>704</v>
      </c>
      <c r="E1101" s="58" t="s">
        <v>36</v>
      </c>
      <c r="F1101" s="82">
        <f t="shared" si="147"/>
        <v>1117.0999999999999</v>
      </c>
      <c r="G1101" s="82">
        <f t="shared" si="147"/>
        <v>398.7</v>
      </c>
      <c r="H1101" s="258">
        <f t="shared" si="144"/>
        <v>0.35690627517679707</v>
      </c>
      <c r="I1101" s="124"/>
      <c r="J1101" s="124"/>
      <c r="K1101" s="124"/>
      <c r="L1101" s="125"/>
      <c r="M1101" s="125"/>
    </row>
    <row r="1102" spans="1:13" s="60" customFormat="1" ht="31.5" x14ac:dyDescent="0.2">
      <c r="A1102" s="155" t="s">
        <v>26</v>
      </c>
      <c r="B1102" s="58" t="s">
        <v>619</v>
      </c>
      <c r="C1102" s="58" t="s">
        <v>650</v>
      </c>
      <c r="D1102" s="59" t="s">
        <v>704</v>
      </c>
      <c r="E1102" s="58" t="s">
        <v>37</v>
      </c>
      <c r="F1102" s="82">
        <v>1117.0999999999999</v>
      </c>
      <c r="G1102" s="82">
        <v>398.7</v>
      </c>
      <c r="H1102" s="258">
        <f t="shared" si="144"/>
        <v>0.35690627517679707</v>
      </c>
      <c r="I1102" s="124"/>
      <c r="J1102" s="124"/>
      <c r="K1102" s="124"/>
      <c r="L1102" s="125"/>
      <c r="M1102" s="125"/>
    </row>
    <row r="1103" spans="1:13" s="60" customFormat="1" ht="16.899999999999999" hidden="1" customHeight="1" x14ac:dyDescent="0.2">
      <c r="A1103" s="155" t="s">
        <v>705</v>
      </c>
      <c r="B1103" s="58" t="s">
        <v>619</v>
      </c>
      <c r="C1103" s="58" t="s">
        <v>650</v>
      </c>
      <c r="D1103" s="59" t="s">
        <v>706</v>
      </c>
      <c r="E1103" s="58"/>
      <c r="F1103" s="82">
        <f t="shared" ref="F1103:G1105" si="148">F1104</f>
        <v>0</v>
      </c>
      <c r="G1103" s="82">
        <f t="shared" si="148"/>
        <v>0</v>
      </c>
      <c r="H1103" s="258" t="e">
        <f t="shared" si="144"/>
        <v>#DIV/0!</v>
      </c>
      <c r="I1103" s="124"/>
      <c r="J1103" s="124"/>
      <c r="K1103" s="124"/>
      <c r="L1103" s="125"/>
      <c r="M1103" s="125"/>
    </row>
    <row r="1104" spans="1:13" s="60" customFormat="1" ht="47.25" hidden="1" x14ac:dyDescent="0.2">
      <c r="A1104" s="155" t="s">
        <v>707</v>
      </c>
      <c r="B1104" s="58" t="s">
        <v>619</v>
      </c>
      <c r="C1104" s="58" t="s">
        <v>650</v>
      </c>
      <c r="D1104" s="59" t="s">
        <v>708</v>
      </c>
      <c r="E1104" s="58"/>
      <c r="F1104" s="82">
        <f t="shared" si="148"/>
        <v>0</v>
      </c>
      <c r="G1104" s="82">
        <f t="shared" si="148"/>
        <v>0</v>
      </c>
      <c r="H1104" s="258" t="e">
        <f t="shared" si="144"/>
        <v>#DIV/0!</v>
      </c>
      <c r="I1104" s="124"/>
      <c r="J1104" s="124"/>
      <c r="K1104" s="124"/>
      <c r="L1104" s="125"/>
      <c r="M1104" s="125"/>
    </row>
    <row r="1105" spans="1:13" s="60" customFormat="1" ht="31.5" hidden="1" x14ac:dyDescent="0.2">
      <c r="A1105" s="155" t="s">
        <v>25</v>
      </c>
      <c r="B1105" s="58" t="s">
        <v>619</v>
      </c>
      <c r="C1105" s="58" t="s">
        <v>650</v>
      </c>
      <c r="D1105" s="59" t="s">
        <v>708</v>
      </c>
      <c r="E1105" s="58" t="s">
        <v>36</v>
      </c>
      <c r="F1105" s="82">
        <f t="shared" si="148"/>
        <v>0</v>
      </c>
      <c r="G1105" s="82">
        <f t="shared" si="148"/>
        <v>0</v>
      </c>
      <c r="H1105" s="258" t="e">
        <f t="shared" si="144"/>
        <v>#DIV/0!</v>
      </c>
      <c r="I1105" s="124"/>
      <c r="J1105" s="124"/>
      <c r="K1105" s="124"/>
      <c r="L1105" s="125"/>
      <c r="M1105" s="125"/>
    </row>
    <row r="1106" spans="1:13" s="60" customFormat="1" ht="31.5" hidden="1" x14ac:dyDescent="0.2">
      <c r="A1106" s="155" t="s">
        <v>26</v>
      </c>
      <c r="B1106" s="58" t="s">
        <v>619</v>
      </c>
      <c r="C1106" s="58" t="s">
        <v>650</v>
      </c>
      <c r="D1106" s="59" t="s">
        <v>708</v>
      </c>
      <c r="E1106" s="58" t="s">
        <v>37</v>
      </c>
      <c r="F1106" s="82">
        <v>0</v>
      </c>
      <c r="G1106" s="82">
        <v>0</v>
      </c>
      <c r="H1106" s="258" t="e">
        <f t="shared" si="144"/>
        <v>#DIV/0!</v>
      </c>
      <c r="I1106" s="124"/>
      <c r="J1106" s="124"/>
      <c r="K1106" s="124"/>
      <c r="L1106" s="125"/>
      <c r="M1106" s="125"/>
    </row>
    <row r="1107" spans="1:13" s="60" customFormat="1" ht="21.6" customHeight="1" x14ac:dyDescent="0.2">
      <c r="A1107" s="155" t="s">
        <v>709</v>
      </c>
      <c r="B1107" s="58" t="s">
        <v>619</v>
      </c>
      <c r="C1107" s="58" t="s">
        <v>650</v>
      </c>
      <c r="D1107" s="59" t="s">
        <v>710</v>
      </c>
      <c r="E1107" s="58"/>
      <c r="F1107" s="82">
        <f>F1108+F1111+F1114</f>
        <v>6654</v>
      </c>
      <c r="G1107" s="82">
        <f>G1108+G1111+G1114</f>
        <v>3739</v>
      </c>
      <c r="H1107" s="258">
        <f t="shared" si="144"/>
        <v>0.56191764352269313</v>
      </c>
      <c r="I1107" s="124"/>
      <c r="J1107" s="124"/>
      <c r="K1107" s="124"/>
      <c r="L1107" s="125"/>
      <c r="M1107" s="125"/>
    </row>
    <row r="1108" spans="1:13" s="60" customFormat="1" ht="47.25" x14ac:dyDescent="0.2">
      <c r="A1108" s="155" t="s">
        <v>711</v>
      </c>
      <c r="B1108" s="58" t="s">
        <v>619</v>
      </c>
      <c r="C1108" s="58" t="s">
        <v>650</v>
      </c>
      <c r="D1108" s="59" t="s">
        <v>712</v>
      </c>
      <c r="E1108" s="58"/>
      <c r="F1108" s="82">
        <f>F1109</f>
        <v>963</v>
      </c>
      <c r="G1108" s="82">
        <f>G1109</f>
        <v>16</v>
      </c>
      <c r="H1108" s="258">
        <f t="shared" si="144"/>
        <v>1.6614745586708203E-2</v>
      </c>
      <c r="I1108" s="124"/>
      <c r="J1108" s="124"/>
      <c r="K1108" s="124"/>
      <c r="L1108" s="125"/>
      <c r="M1108" s="125"/>
    </row>
    <row r="1109" spans="1:13" s="60" customFormat="1" ht="21.6" customHeight="1" x14ac:dyDescent="0.2">
      <c r="A1109" s="155" t="s">
        <v>25</v>
      </c>
      <c r="B1109" s="58" t="s">
        <v>619</v>
      </c>
      <c r="C1109" s="58" t="s">
        <v>650</v>
      </c>
      <c r="D1109" s="59" t="s">
        <v>712</v>
      </c>
      <c r="E1109" s="58" t="s">
        <v>36</v>
      </c>
      <c r="F1109" s="82">
        <f>F1110</f>
        <v>963</v>
      </c>
      <c r="G1109" s="82">
        <f>G1110</f>
        <v>16</v>
      </c>
      <c r="H1109" s="258">
        <f t="shared" si="144"/>
        <v>1.6614745586708203E-2</v>
      </c>
      <c r="I1109" s="124"/>
      <c r="J1109" s="124"/>
      <c r="K1109" s="124"/>
      <c r="L1109" s="125"/>
      <c r="M1109" s="125"/>
    </row>
    <row r="1110" spans="1:13" s="60" customFormat="1" ht="21.6" customHeight="1" x14ac:dyDescent="0.2">
      <c r="A1110" s="155" t="s">
        <v>26</v>
      </c>
      <c r="B1110" s="58" t="s">
        <v>619</v>
      </c>
      <c r="C1110" s="58" t="s">
        <v>650</v>
      </c>
      <c r="D1110" s="59" t="s">
        <v>712</v>
      </c>
      <c r="E1110" s="58" t="s">
        <v>37</v>
      </c>
      <c r="F1110" s="82">
        <v>963</v>
      </c>
      <c r="G1110" s="82">
        <v>16</v>
      </c>
      <c r="H1110" s="258">
        <f t="shared" si="144"/>
        <v>1.6614745586708203E-2</v>
      </c>
      <c r="I1110" s="124"/>
      <c r="J1110" s="124"/>
      <c r="K1110" s="124"/>
      <c r="L1110" s="125"/>
      <c r="M1110" s="125"/>
    </row>
    <row r="1111" spans="1:13" s="60" customFormat="1" ht="50.45" customHeight="1" x14ac:dyDescent="0.2">
      <c r="A1111" s="155" t="s">
        <v>713</v>
      </c>
      <c r="B1111" s="58" t="s">
        <v>619</v>
      </c>
      <c r="C1111" s="58" t="s">
        <v>650</v>
      </c>
      <c r="D1111" s="59" t="s">
        <v>714</v>
      </c>
      <c r="E1111" s="58"/>
      <c r="F1111" s="82">
        <f>F1112</f>
        <v>5691</v>
      </c>
      <c r="G1111" s="82">
        <f>G1112</f>
        <v>3723</v>
      </c>
      <c r="H1111" s="258">
        <f t="shared" ref="H1111:H1174" si="149">G1111/F1111</f>
        <v>0.65419082762256198</v>
      </c>
      <c r="I1111" s="124"/>
      <c r="J1111" s="124"/>
      <c r="K1111" s="124"/>
      <c r="L1111" s="125"/>
      <c r="M1111" s="125"/>
    </row>
    <row r="1112" spans="1:13" s="60" customFormat="1" ht="31.5" x14ac:dyDescent="0.2">
      <c r="A1112" s="155" t="s">
        <v>25</v>
      </c>
      <c r="B1112" s="58" t="s">
        <v>619</v>
      </c>
      <c r="C1112" s="58" t="s">
        <v>650</v>
      </c>
      <c r="D1112" s="59" t="s">
        <v>714</v>
      </c>
      <c r="E1112" s="58" t="s">
        <v>36</v>
      </c>
      <c r="F1112" s="82">
        <f>F1113</f>
        <v>5691</v>
      </c>
      <c r="G1112" s="82">
        <f>G1113</f>
        <v>3723</v>
      </c>
      <c r="H1112" s="258">
        <f t="shared" si="149"/>
        <v>0.65419082762256198</v>
      </c>
      <c r="I1112" s="124"/>
      <c r="J1112" s="124"/>
      <c r="K1112" s="124"/>
      <c r="L1112" s="125"/>
      <c r="M1112" s="125"/>
    </row>
    <row r="1113" spans="1:13" s="60" customFormat="1" ht="31.5" x14ac:dyDescent="0.2">
      <c r="A1113" s="155" t="s">
        <v>26</v>
      </c>
      <c r="B1113" s="58" t="s">
        <v>619</v>
      </c>
      <c r="C1113" s="58" t="s">
        <v>650</v>
      </c>
      <c r="D1113" s="59" t="s">
        <v>714</v>
      </c>
      <c r="E1113" s="58" t="s">
        <v>37</v>
      </c>
      <c r="F1113" s="82">
        <f>11295.9-5604.9</f>
        <v>5691</v>
      </c>
      <c r="G1113" s="82">
        <v>3723</v>
      </c>
      <c r="H1113" s="258">
        <f t="shared" si="149"/>
        <v>0.65419082762256198</v>
      </c>
      <c r="I1113" s="124"/>
      <c r="J1113" s="124"/>
      <c r="K1113" s="124"/>
      <c r="L1113" s="125"/>
      <c r="M1113" s="125"/>
    </row>
    <row r="1114" spans="1:13" s="60" customFormat="1" ht="36.6" hidden="1" customHeight="1" x14ac:dyDescent="0.2">
      <c r="A1114" s="155" t="s">
        <v>715</v>
      </c>
      <c r="B1114" s="58" t="s">
        <v>619</v>
      </c>
      <c r="C1114" s="58" t="s">
        <v>650</v>
      </c>
      <c r="D1114" s="59" t="s">
        <v>716</v>
      </c>
      <c r="E1114" s="58"/>
      <c r="F1114" s="82">
        <f>F1115</f>
        <v>0</v>
      </c>
      <c r="G1114" s="82">
        <f>G1115</f>
        <v>0</v>
      </c>
      <c r="H1114" s="258" t="e">
        <f t="shared" si="149"/>
        <v>#DIV/0!</v>
      </c>
      <c r="I1114" s="124"/>
      <c r="J1114" s="124"/>
      <c r="K1114" s="124"/>
      <c r="L1114" s="125"/>
      <c r="M1114" s="125"/>
    </row>
    <row r="1115" spans="1:13" s="60" customFormat="1" ht="31.5" hidden="1" x14ac:dyDescent="0.2">
      <c r="A1115" s="155" t="s">
        <v>25</v>
      </c>
      <c r="B1115" s="58" t="s">
        <v>619</v>
      </c>
      <c r="C1115" s="58" t="s">
        <v>650</v>
      </c>
      <c r="D1115" s="59" t="s">
        <v>716</v>
      </c>
      <c r="E1115" s="58" t="s">
        <v>36</v>
      </c>
      <c r="F1115" s="82">
        <f>F1116</f>
        <v>0</v>
      </c>
      <c r="G1115" s="82">
        <f>G1116</f>
        <v>0</v>
      </c>
      <c r="H1115" s="258" t="e">
        <f t="shared" si="149"/>
        <v>#DIV/0!</v>
      </c>
      <c r="I1115" s="124"/>
      <c r="J1115" s="124"/>
      <c r="K1115" s="124"/>
      <c r="L1115" s="125"/>
      <c r="M1115" s="125"/>
    </row>
    <row r="1116" spans="1:13" s="60" customFormat="1" ht="31.5" hidden="1" x14ac:dyDescent="0.2">
      <c r="A1116" s="155" t="s">
        <v>26</v>
      </c>
      <c r="B1116" s="58" t="s">
        <v>619</v>
      </c>
      <c r="C1116" s="58" t="s">
        <v>650</v>
      </c>
      <c r="D1116" s="59" t="s">
        <v>716</v>
      </c>
      <c r="E1116" s="58" t="s">
        <v>37</v>
      </c>
      <c r="F1116" s="82">
        <v>0</v>
      </c>
      <c r="G1116" s="82">
        <v>0</v>
      </c>
      <c r="H1116" s="258" t="e">
        <f t="shared" si="149"/>
        <v>#DIV/0!</v>
      </c>
      <c r="I1116" s="124"/>
      <c r="J1116" s="124"/>
      <c r="K1116" s="124"/>
      <c r="L1116" s="125"/>
      <c r="M1116" s="125"/>
    </row>
    <row r="1117" spans="1:13" s="60" customFormat="1" ht="31.5" x14ac:dyDescent="0.2">
      <c r="A1117" s="226" t="s">
        <v>80</v>
      </c>
      <c r="B1117" s="53" t="s">
        <v>619</v>
      </c>
      <c r="C1117" s="53" t="s">
        <v>650</v>
      </c>
      <c r="D1117" s="54" t="s">
        <v>81</v>
      </c>
      <c r="E1117" s="53"/>
      <c r="F1117" s="65">
        <f t="shared" ref="F1117:G1119" si="150">F1118</f>
        <v>700.7</v>
      </c>
      <c r="G1117" s="65">
        <f t="shared" si="150"/>
        <v>557.20000000000005</v>
      </c>
      <c r="H1117" s="258">
        <f t="shared" si="149"/>
        <v>0.79520479520479526</v>
      </c>
      <c r="I1117" s="124"/>
      <c r="J1117" s="124"/>
      <c r="K1117" s="124"/>
      <c r="L1117" s="125"/>
      <c r="M1117" s="125"/>
    </row>
    <row r="1118" spans="1:13" s="28" customFormat="1" ht="31.5" x14ac:dyDescent="0.2">
      <c r="A1118" s="30" t="s">
        <v>92</v>
      </c>
      <c r="B1118" s="31" t="s">
        <v>619</v>
      </c>
      <c r="C1118" s="31" t="s">
        <v>650</v>
      </c>
      <c r="D1118" s="32" t="s">
        <v>93</v>
      </c>
      <c r="E1118" s="31"/>
      <c r="F1118" s="83">
        <f t="shared" si="150"/>
        <v>700.7</v>
      </c>
      <c r="G1118" s="83">
        <f t="shared" si="150"/>
        <v>557.20000000000005</v>
      </c>
      <c r="H1118" s="258">
        <f t="shared" si="149"/>
        <v>0.79520479520479526</v>
      </c>
      <c r="I1118" s="124"/>
      <c r="J1118" s="124"/>
      <c r="K1118" s="124"/>
      <c r="L1118" s="125"/>
      <c r="M1118" s="125"/>
    </row>
    <row r="1119" spans="1:13" s="28" customFormat="1" ht="47.25" x14ac:dyDescent="0.2">
      <c r="A1119" s="30" t="s">
        <v>98</v>
      </c>
      <c r="B1119" s="31" t="s">
        <v>619</v>
      </c>
      <c r="C1119" s="31" t="s">
        <v>650</v>
      </c>
      <c r="D1119" s="32" t="s">
        <v>99</v>
      </c>
      <c r="E1119" s="31"/>
      <c r="F1119" s="83">
        <f t="shared" si="150"/>
        <v>700.7</v>
      </c>
      <c r="G1119" s="83">
        <f t="shared" si="150"/>
        <v>557.20000000000005</v>
      </c>
      <c r="H1119" s="258">
        <f t="shared" si="149"/>
        <v>0.79520479520479526</v>
      </c>
      <c r="I1119" s="124"/>
      <c r="J1119" s="124"/>
      <c r="K1119" s="124"/>
      <c r="L1119" s="125"/>
      <c r="M1119" s="125"/>
    </row>
    <row r="1120" spans="1:13" s="28" customFormat="1" ht="156" customHeight="1" x14ac:dyDescent="0.2">
      <c r="A1120" s="219" t="s">
        <v>717</v>
      </c>
      <c r="B1120" s="31" t="s">
        <v>619</v>
      </c>
      <c r="C1120" s="31" t="s">
        <v>650</v>
      </c>
      <c r="D1120" s="32" t="s">
        <v>718</v>
      </c>
      <c r="E1120" s="31"/>
      <c r="F1120" s="83">
        <f>F1123</f>
        <v>700.7</v>
      </c>
      <c r="G1120" s="83">
        <f>G1123</f>
        <v>557.20000000000005</v>
      </c>
      <c r="H1120" s="258">
        <f t="shared" si="149"/>
        <v>0.79520479520479526</v>
      </c>
      <c r="I1120" s="124"/>
      <c r="J1120" s="124"/>
      <c r="K1120" s="124"/>
      <c r="L1120" s="125"/>
      <c r="M1120" s="125"/>
    </row>
    <row r="1121" spans="1:13" s="28" customFormat="1" hidden="1" x14ac:dyDescent="0.2">
      <c r="A1121" s="81" t="s">
        <v>27</v>
      </c>
      <c r="B1121" s="31" t="s">
        <v>619</v>
      </c>
      <c r="C1121" s="31" t="s">
        <v>650</v>
      </c>
      <c r="D1121" s="32" t="s">
        <v>719</v>
      </c>
      <c r="E1121" s="31" t="s">
        <v>155</v>
      </c>
      <c r="F1121" s="83">
        <f>F1122</f>
        <v>0</v>
      </c>
      <c r="G1121" s="83">
        <f>G1122</f>
        <v>0</v>
      </c>
      <c r="H1121" s="258" t="e">
        <f t="shared" si="149"/>
        <v>#DIV/0!</v>
      </c>
      <c r="I1121" s="124"/>
      <c r="J1121" s="124"/>
      <c r="K1121" s="124"/>
      <c r="L1121" s="125"/>
      <c r="M1121" s="125"/>
    </row>
    <row r="1122" spans="1:13" s="28" customFormat="1" ht="19.5" hidden="1" customHeight="1" x14ac:dyDescent="0.2">
      <c r="A1122" s="219" t="s">
        <v>564</v>
      </c>
      <c r="B1122" s="31" t="s">
        <v>619</v>
      </c>
      <c r="C1122" s="31" t="s">
        <v>650</v>
      </c>
      <c r="D1122" s="32" t="s">
        <v>719</v>
      </c>
      <c r="E1122" s="31" t="s">
        <v>720</v>
      </c>
      <c r="F1122" s="83"/>
      <c r="G1122" s="83"/>
      <c r="H1122" s="258" t="e">
        <f t="shared" si="149"/>
        <v>#DIV/0!</v>
      </c>
      <c r="I1122" s="124"/>
      <c r="J1122" s="124"/>
      <c r="K1122" s="124"/>
      <c r="L1122" s="125"/>
      <c r="M1122" s="125"/>
    </row>
    <row r="1123" spans="1:13" s="28" customFormat="1" x14ac:dyDescent="0.2">
      <c r="A1123" s="81" t="s">
        <v>27</v>
      </c>
      <c r="B1123" s="31" t="s">
        <v>619</v>
      </c>
      <c r="C1123" s="31" t="s">
        <v>650</v>
      </c>
      <c r="D1123" s="32" t="s">
        <v>718</v>
      </c>
      <c r="E1123" s="31" t="s">
        <v>155</v>
      </c>
      <c r="F1123" s="83">
        <f>F1124+F1125</f>
        <v>700.7</v>
      </c>
      <c r="G1123" s="83">
        <f>G1124+G1125</f>
        <v>557.20000000000005</v>
      </c>
      <c r="H1123" s="258">
        <f t="shared" si="149"/>
        <v>0.79520479520479526</v>
      </c>
      <c r="I1123" s="124"/>
      <c r="J1123" s="124"/>
      <c r="K1123" s="124"/>
      <c r="L1123" s="125"/>
      <c r="M1123" s="125"/>
    </row>
    <row r="1124" spans="1:13" s="28" customFormat="1" ht="31.5" hidden="1" x14ac:dyDescent="0.2">
      <c r="A1124" s="81" t="s">
        <v>564</v>
      </c>
      <c r="B1124" s="31" t="s">
        <v>619</v>
      </c>
      <c r="C1124" s="31" t="s">
        <v>650</v>
      </c>
      <c r="D1124" s="32" t="s">
        <v>718</v>
      </c>
      <c r="E1124" s="31" t="s">
        <v>720</v>
      </c>
      <c r="F1124" s="83">
        <f>953.4-953.4</f>
        <v>0</v>
      </c>
      <c r="G1124" s="83">
        <f>953.4-953.4</f>
        <v>0</v>
      </c>
      <c r="H1124" s="258" t="e">
        <f t="shared" si="149"/>
        <v>#DIV/0!</v>
      </c>
      <c r="I1124" s="124"/>
      <c r="J1124" s="124"/>
      <c r="K1124" s="124"/>
      <c r="L1124" s="125"/>
      <c r="M1124" s="125"/>
    </row>
    <row r="1125" spans="1:13" s="28" customFormat="1" ht="31.5" x14ac:dyDescent="0.2">
      <c r="A1125" s="81" t="s">
        <v>185</v>
      </c>
      <c r="B1125" s="31" t="s">
        <v>619</v>
      </c>
      <c r="C1125" s="31" t="s">
        <v>650</v>
      </c>
      <c r="D1125" s="32" t="s">
        <v>718</v>
      </c>
      <c r="E1125" s="31" t="s">
        <v>550</v>
      </c>
      <c r="F1125" s="83">
        <v>700.7</v>
      </c>
      <c r="G1125" s="83">
        <v>557.20000000000005</v>
      </c>
      <c r="H1125" s="258">
        <f t="shared" si="149"/>
        <v>0.79520479520479526</v>
      </c>
      <c r="I1125" s="124"/>
      <c r="J1125" s="124"/>
      <c r="K1125" s="124"/>
      <c r="L1125" s="125"/>
      <c r="M1125" s="125"/>
    </row>
    <row r="1126" spans="1:13" s="28" customFormat="1" ht="47.25" hidden="1" x14ac:dyDescent="0.2">
      <c r="A1126" s="222" t="s">
        <v>228</v>
      </c>
      <c r="B1126" s="15" t="s">
        <v>619</v>
      </c>
      <c r="C1126" s="15" t="s">
        <v>650</v>
      </c>
      <c r="D1126" s="24" t="s">
        <v>229</v>
      </c>
      <c r="E1126" s="15"/>
      <c r="F1126" s="80">
        <f t="shared" ref="F1126:G1128" si="151">F1127</f>
        <v>0</v>
      </c>
      <c r="G1126" s="80">
        <f t="shared" si="151"/>
        <v>0</v>
      </c>
      <c r="H1126" s="258" t="e">
        <f t="shared" si="149"/>
        <v>#DIV/0!</v>
      </c>
      <c r="I1126" s="124"/>
      <c r="J1126" s="124"/>
      <c r="K1126" s="124"/>
      <c r="L1126" s="125"/>
      <c r="M1126" s="125"/>
    </row>
    <row r="1127" spans="1:13" s="28" customFormat="1" ht="47.25" hidden="1" x14ac:dyDescent="0.2">
      <c r="A1127" s="81" t="s">
        <v>230</v>
      </c>
      <c r="B1127" s="31" t="s">
        <v>619</v>
      </c>
      <c r="C1127" s="31" t="s">
        <v>650</v>
      </c>
      <c r="D1127" s="32" t="s">
        <v>231</v>
      </c>
      <c r="E1127" s="31"/>
      <c r="F1127" s="83">
        <f t="shared" si="151"/>
        <v>0</v>
      </c>
      <c r="G1127" s="83">
        <f t="shared" si="151"/>
        <v>0</v>
      </c>
      <c r="H1127" s="258" t="e">
        <f t="shared" si="149"/>
        <v>#DIV/0!</v>
      </c>
      <c r="I1127" s="124"/>
      <c r="J1127" s="124"/>
      <c r="K1127" s="124"/>
      <c r="L1127" s="125"/>
      <c r="M1127" s="125"/>
    </row>
    <row r="1128" spans="1:13" s="28" customFormat="1" ht="31.5" hidden="1" x14ac:dyDescent="0.2">
      <c r="A1128" s="43" t="s">
        <v>25</v>
      </c>
      <c r="B1128" s="31" t="s">
        <v>619</v>
      </c>
      <c r="C1128" s="31" t="s">
        <v>650</v>
      </c>
      <c r="D1128" s="32" t="s">
        <v>231</v>
      </c>
      <c r="E1128" s="31" t="s">
        <v>36</v>
      </c>
      <c r="F1128" s="83">
        <f t="shared" si="151"/>
        <v>0</v>
      </c>
      <c r="G1128" s="83">
        <f t="shared" si="151"/>
        <v>0</v>
      </c>
      <c r="H1128" s="258" t="e">
        <f t="shared" si="149"/>
        <v>#DIV/0!</v>
      </c>
      <c r="I1128" s="124"/>
      <c r="J1128" s="124"/>
      <c r="K1128" s="124"/>
      <c r="L1128" s="125"/>
      <c r="M1128" s="125"/>
    </row>
    <row r="1129" spans="1:13" s="28" customFormat="1" ht="31.5" hidden="1" x14ac:dyDescent="0.2">
      <c r="A1129" s="43" t="s">
        <v>26</v>
      </c>
      <c r="B1129" s="31" t="s">
        <v>619</v>
      </c>
      <c r="C1129" s="31" t="s">
        <v>650</v>
      </c>
      <c r="D1129" s="32" t="s">
        <v>231</v>
      </c>
      <c r="E1129" s="31" t="s">
        <v>37</v>
      </c>
      <c r="F1129" s="83"/>
      <c r="G1129" s="83"/>
      <c r="H1129" s="258" t="e">
        <f t="shared" si="149"/>
        <v>#DIV/0!</v>
      </c>
      <c r="I1129" s="124"/>
      <c r="J1129" s="124"/>
      <c r="K1129" s="124"/>
      <c r="L1129" s="125"/>
      <c r="M1129" s="125"/>
    </row>
    <row r="1130" spans="1:13" s="45" customFormat="1" ht="31.5" x14ac:dyDescent="0.2">
      <c r="A1130" s="14" t="s">
        <v>622</v>
      </c>
      <c r="B1130" s="15" t="s">
        <v>619</v>
      </c>
      <c r="C1130" s="15" t="s">
        <v>650</v>
      </c>
      <c r="D1130" s="24" t="s">
        <v>623</v>
      </c>
      <c r="E1130" s="24"/>
      <c r="F1130" s="80">
        <f>F1131+F1144</f>
        <v>51140.800000000003</v>
      </c>
      <c r="G1130" s="80">
        <f>G1131+G1144</f>
        <v>30252.1</v>
      </c>
      <c r="H1130" s="258">
        <f t="shared" si="149"/>
        <v>0.59154530238087788</v>
      </c>
      <c r="I1130" s="124"/>
      <c r="J1130" s="124"/>
      <c r="K1130" s="124"/>
      <c r="L1130" s="125"/>
      <c r="M1130" s="125"/>
    </row>
    <row r="1131" spans="1:13" s="28" customFormat="1" ht="19.899999999999999" customHeight="1" x14ac:dyDescent="0.2">
      <c r="A1131" s="36" t="s">
        <v>138</v>
      </c>
      <c r="B1131" s="31" t="s">
        <v>619</v>
      </c>
      <c r="C1131" s="31" t="s">
        <v>650</v>
      </c>
      <c r="D1131" s="32" t="s">
        <v>624</v>
      </c>
      <c r="E1131" s="32"/>
      <c r="F1131" s="83">
        <f>F1134+F1136+F1138+F1140+F1132</f>
        <v>51140.800000000003</v>
      </c>
      <c r="G1131" s="83">
        <f>G1134+G1136+G1138+G1140+G1132</f>
        <v>30252.1</v>
      </c>
      <c r="H1131" s="258">
        <f t="shared" si="149"/>
        <v>0.59154530238087788</v>
      </c>
      <c r="I1131" s="124"/>
      <c r="J1131" s="124"/>
      <c r="K1131" s="124"/>
      <c r="L1131" s="125"/>
      <c r="M1131" s="125"/>
    </row>
    <row r="1132" spans="1:13" s="5" customFormat="1" ht="63.6" customHeight="1" x14ac:dyDescent="0.2">
      <c r="A1132" s="81" t="s">
        <v>23</v>
      </c>
      <c r="B1132" s="31" t="s">
        <v>619</v>
      </c>
      <c r="C1132" s="31" t="s">
        <v>650</v>
      </c>
      <c r="D1132" s="32" t="s">
        <v>624</v>
      </c>
      <c r="E1132" s="31" t="s">
        <v>43</v>
      </c>
      <c r="F1132" s="83">
        <f>F1133</f>
        <v>12242.7</v>
      </c>
      <c r="G1132" s="83">
        <f>G1133</f>
        <v>8451.7999999999993</v>
      </c>
      <c r="H1132" s="258">
        <f t="shared" si="149"/>
        <v>0.6903542519215532</v>
      </c>
      <c r="I1132" s="124"/>
      <c r="J1132" s="124"/>
      <c r="K1132" s="124"/>
      <c r="L1132" s="125"/>
      <c r="M1132" s="125"/>
    </row>
    <row r="1133" spans="1:13" s="5" customFormat="1" x14ac:dyDescent="0.2">
      <c r="A1133" s="81" t="s">
        <v>142</v>
      </c>
      <c r="B1133" s="31" t="s">
        <v>619</v>
      </c>
      <c r="C1133" s="31" t="s">
        <v>650</v>
      </c>
      <c r="D1133" s="32" t="s">
        <v>624</v>
      </c>
      <c r="E1133" s="31" t="s">
        <v>143</v>
      </c>
      <c r="F1133" s="83">
        <v>12242.7</v>
      </c>
      <c r="G1133" s="83">
        <f>6302.9+2148.9</f>
        <v>8451.7999999999993</v>
      </c>
      <c r="H1133" s="258">
        <f t="shared" si="149"/>
        <v>0.6903542519215532</v>
      </c>
      <c r="I1133" s="124"/>
      <c r="J1133" s="124"/>
      <c r="K1133" s="124"/>
      <c r="L1133" s="125"/>
      <c r="M1133" s="125"/>
    </row>
    <row r="1134" spans="1:13" s="28" customFormat="1" ht="31.5" x14ac:dyDescent="0.2">
      <c r="A1134" s="81" t="s">
        <v>25</v>
      </c>
      <c r="B1134" s="31" t="s">
        <v>619</v>
      </c>
      <c r="C1134" s="31" t="s">
        <v>650</v>
      </c>
      <c r="D1134" s="32" t="s">
        <v>624</v>
      </c>
      <c r="E1134" s="32">
        <v>200</v>
      </c>
      <c r="F1134" s="83">
        <f>F1135</f>
        <v>37708.400000000001</v>
      </c>
      <c r="G1134" s="83">
        <f>G1135</f>
        <v>20945.599999999999</v>
      </c>
      <c r="H1134" s="258">
        <f t="shared" si="149"/>
        <v>0.55546244338131556</v>
      </c>
      <c r="I1134" s="124"/>
      <c r="J1134" s="124"/>
      <c r="K1134" s="124"/>
      <c r="L1134" s="125"/>
      <c r="M1134" s="125"/>
    </row>
    <row r="1135" spans="1:13" s="28" customFormat="1" ht="31.5" x14ac:dyDescent="0.2">
      <c r="A1135" s="81" t="s">
        <v>26</v>
      </c>
      <c r="B1135" s="31" t="s">
        <v>619</v>
      </c>
      <c r="C1135" s="31" t="s">
        <v>650</v>
      </c>
      <c r="D1135" s="32" t="s">
        <v>624</v>
      </c>
      <c r="E1135" s="32">
        <v>240</v>
      </c>
      <c r="F1135" s="83">
        <v>37708.400000000001</v>
      </c>
      <c r="G1135" s="83">
        <f>1335+19610.6</f>
        <v>20945.599999999999</v>
      </c>
      <c r="H1135" s="258">
        <f t="shared" si="149"/>
        <v>0.55546244338131556</v>
      </c>
      <c r="I1135" s="124"/>
      <c r="J1135" s="124"/>
      <c r="K1135" s="124"/>
      <c r="L1135" s="125"/>
      <c r="M1135" s="125"/>
    </row>
    <row r="1136" spans="1:13" s="28" customFormat="1" hidden="1" x14ac:dyDescent="0.2">
      <c r="A1136" s="81" t="s">
        <v>27</v>
      </c>
      <c r="B1136" s="31" t="s">
        <v>619</v>
      </c>
      <c r="C1136" s="31" t="s">
        <v>650</v>
      </c>
      <c r="D1136" s="32" t="s">
        <v>624</v>
      </c>
      <c r="E1136" s="32">
        <v>300</v>
      </c>
      <c r="F1136" s="83">
        <f>F1137</f>
        <v>0</v>
      </c>
      <c r="G1136" s="83">
        <f>G1137</f>
        <v>0</v>
      </c>
      <c r="H1136" s="258" t="e">
        <f t="shared" si="149"/>
        <v>#DIV/0!</v>
      </c>
      <c r="I1136" s="124"/>
      <c r="J1136" s="124"/>
      <c r="K1136" s="124"/>
      <c r="L1136" s="125"/>
      <c r="M1136" s="125"/>
    </row>
    <row r="1137" spans="1:13" s="28" customFormat="1" ht="31.5" hidden="1" x14ac:dyDescent="0.2">
      <c r="A1137" s="81" t="s">
        <v>185</v>
      </c>
      <c r="B1137" s="31" t="s">
        <v>619</v>
      </c>
      <c r="C1137" s="31" t="s">
        <v>650</v>
      </c>
      <c r="D1137" s="32" t="s">
        <v>624</v>
      </c>
      <c r="E1137" s="32">
        <v>320</v>
      </c>
      <c r="F1137" s="83"/>
      <c r="G1137" s="83"/>
      <c r="H1137" s="258" t="e">
        <f t="shared" si="149"/>
        <v>#DIV/0!</v>
      </c>
      <c r="I1137" s="124"/>
      <c r="J1137" s="124"/>
      <c r="K1137" s="124"/>
      <c r="L1137" s="125"/>
      <c r="M1137" s="125"/>
    </row>
    <row r="1138" spans="1:13" s="28" customFormat="1" ht="31.5" hidden="1" x14ac:dyDescent="0.2">
      <c r="A1138" s="81" t="s">
        <v>150</v>
      </c>
      <c r="B1138" s="31" t="s">
        <v>619</v>
      </c>
      <c r="C1138" s="31" t="s">
        <v>650</v>
      </c>
      <c r="D1138" s="32" t="s">
        <v>624</v>
      </c>
      <c r="E1138" s="31" t="s">
        <v>151</v>
      </c>
      <c r="F1138" s="83">
        <f>F1139</f>
        <v>0</v>
      </c>
      <c r="G1138" s="83">
        <f>G1139</f>
        <v>0</v>
      </c>
      <c r="H1138" s="258" t="e">
        <f t="shared" si="149"/>
        <v>#DIV/0!</v>
      </c>
      <c r="I1138" s="124"/>
      <c r="J1138" s="124"/>
      <c r="K1138" s="124"/>
      <c r="L1138" s="125"/>
      <c r="M1138" s="125"/>
    </row>
    <row r="1139" spans="1:13" s="28" customFormat="1" ht="17.25" hidden="1" customHeight="1" x14ac:dyDescent="0.2">
      <c r="A1139" s="81" t="s">
        <v>152</v>
      </c>
      <c r="B1139" s="31" t="s">
        <v>619</v>
      </c>
      <c r="C1139" s="31" t="s">
        <v>650</v>
      </c>
      <c r="D1139" s="32" t="s">
        <v>624</v>
      </c>
      <c r="E1139" s="31" t="s">
        <v>153</v>
      </c>
      <c r="F1139" s="83"/>
      <c r="G1139" s="83"/>
      <c r="H1139" s="258" t="e">
        <f t="shared" si="149"/>
        <v>#DIV/0!</v>
      </c>
      <c r="I1139" s="124"/>
      <c r="J1139" s="124"/>
      <c r="K1139" s="124"/>
      <c r="L1139" s="125"/>
      <c r="M1139" s="125"/>
    </row>
    <row r="1140" spans="1:13" s="28" customFormat="1" x14ac:dyDescent="0.2">
      <c r="A1140" s="81" t="s">
        <v>29</v>
      </c>
      <c r="B1140" s="31" t="s">
        <v>619</v>
      </c>
      <c r="C1140" s="31" t="s">
        <v>650</v>
      </c>
      <c r="D1140" s="32" t="s">
        <v>624</v>
      </c>
      <c r="E1140" s="31" t="s">
        <v>130</v>
      </c>
      <c r="F1140" s="83">
        <f>F1141+F1142+F1143</f>
        <v>1189.7</v>
      </c>
      <c r="G1140" s="83">
        <f>G1141+G1142+G1143</f>
        <v>854.7</v>
      </c>
      <c r="H1140" s="258">
        <f t="shared" si="149"/>
        <v>0.71841640749768854</v>
      </c>
      <c r="I1140" s="124"/>
      <c r="J1140" s="124"/>
      <c r="K1140" s="124"/>
      <c r="L1140" s="125"/>
      <c r="M1140" s="125"/>
    </row>
    <row r="1141" spans="1:13" s="28" customFormat="1" hidden="1" x14ac:dyDescent="0.2">
      <c r="A1141" s="81" t="s">
        <v>30</v>
      </c>
      <c r="B1141" s="31" t="s">
        <v>619</v>
      </c>
      <c r="C1141" s="31" t="s">
        <v>650</v>
      </c>
      <c r="D1141" s="32" t="s">
        <v>624</v>
      </c>
      <c r="E1141" s="31" t="s">
        <v>167</v>
      </c>
      <c r="F1141" s="83"/>
      <c r="G1141" s="83"/>
      <c r="H1141" s="258" t="e">
        <f t="shared" si="149"/>
        <v>#DIV/0!</v>
      </c>
      <c r="I1141" s="124"/>
      <c r="J1141" s="124"/>
      <c r="K1141" s="124"/>
      <c r="L1141" s="125"/>
      <c r="M1141" s="125"/>
    </row>
    <row r="1142" spans="1:13" s="28" customFormat="1" x14ac:dyDescent="0.2">
      <c r="A1142" s="81" t="s">
        <v>31</v>
      </c>
      <c r="B1142" s="31" t="s">
        <v>619</v>
      </c>
      <c r="C1142" s="31" t="s">
        <v>650</v>
      </c>
      <c r="D1142" s="32" t="s">
        <v>624</v>
      </c>
      <c r="E1142" s="31" t="s">
        <v>168</v>
      </c>
      <c r="F1142" s="83">
        <v>1189.7</v>
      </c>
      <c r="G1142" s="83">
        <f>790.9+53.2+10.6</f>
        <v>854.7</v>
      </c>
      <c r="H1142" s="258">
        <f t="shared" si="149"/>
        <v>0.71841640749768854</v>
      </c>
      <c r="I1142" s="124"/>
      <c r="J1142" s="124"/>
      <c r="K1142" s="124"/>
      <c r="L1142" s="125"/>
      <c r="M1142" s="125"/>
    </row>
    <row r="1143" spans="1:13" s="28" customFormat="1" ht="16.5" hidden="1" customHeight="1" x14ac:dyDescent="0.2">
      <c r="A1143" s="81" t="s">
        <v>50</v>
      </c>
      <c r="B1143" s="31" t="s">
        <v>619</v>
      </c>
      <c r="C1143" s="31" t="s">
        <v>650</v>
      </c>
      <c r="D1143" s="32" t="s">
        <v>624</v>
      </c>
      <c r="E1143" s="31" t="s">
        <v>277</v>
      </c>
      <c r="F1143" s="83"/>
      <c r="G1143" s="83"/>
      <c r="H1143" s="258" t="e">
        <f t="shared" si="149"/>
        <v>#DIV/0!</v>
      </c>
      <c r="I1143" s="124"/>
      <c r="J1143" s="124"/>
      <c r="K1143" s="124"/>
      <c r="L1143" s="125"/>
      <c r="M1143" s="125"/>
    </row>
    <row r="1144" spans="1:13" s="28" customFormat="1" ht="31.5" hidden="1" x14ac:dyDescent="0.2">
      <c r="A1144" s="81" t="s">
        <v>721</v>
      </c>
      <c r="B1144" s="31" t="s">
        <v>619</v>
      </c>
      <c r="C1144" s="31" t="s">
        <v>650</v>
      </c>
      <c r="D1144" s="32" t="s">
        <v>722</v>
      </c>
      <c r="E1144" s="31"/>
      <c r="F1144" s="83">
        <f t="shared" ref="F1144:G1146" si="152">F1145</f>
        <v>0</v>
      </c>
      <c r="G1144" s="83">
        <f t="shared" si="152"/>
        <v>0</v>
      </c>
      <c r="H1144" s="258" t="e">
        <f t="shared" si="149"/>
        <v>#DIV/0!</v>
      </c>
      <c r="I1144" s="124"/>
      <c r="J1144" s="124"/>
      <c r="K1144" s="124"/>
      <c r="L1144" s="125"/>
      <c r="M1144" s="125"/>
    </row>
    <row r="1145" spans="1:13" s="28" customFormat="1" ht="31.15" hidden="1" customHeight="1" x14ac:dyDescent="0.2">
      <c r="A1145" s="103" t="s">
        <v>723</v>
      </c>
      <c r="B1145" s="31" t="s">
        <v>619</v>
      </c>
      <c r="C1145" s="31" t="s">
        <v>650</v>
      </c>
      <c r="D1145" s="32" t="s">
        <v>724</v>
      </c>
      <c r="E1145" s="31"/>
      <c r="F1145" s="83">
        <f t="shared" si="152"/>
        <v>0</v>
      </c>
      <c r="G1145" s="83">
        <f t="shared" si="152"/>
        <v>0</v>
      </c>
      <c r="H1145" s="258" t="e">
        <f t="shared" si="149"/>
        <v>#DIV/0!</v>
      </c>
      <c r="I1145" s="124"/>
      <c r="J1145" s="124"/>
      <c r="K1145" s="124"/>
      <c r="L1145" s="125"/>
      <c r="M1145" s="125"/>
    </row>
    <row r="1146" spans="1:13" s="28" customFormat="1" ht="31.15" hidden="1" customHeight="1" x14ac:dyDescent="0.2">
      <c r="A1146" s="81" t="s">
        <v>25</v>
      </c>
      <c r="B1146" s="31" t="s">
        <v>619</v>
      </c>
      <c r="C1146" s="31" t="s">
        <v>650</v>
      </c>
      <c r="D1146" s="32" t="s">
        <v>724</v>
      </c>
      <c r="E1146" s="31" t="s">
        <v>36</v>
      </c>
      <c r="F1146" s="83">
        <f t="shared" si="152"/>
        <v>0</v>
      </c>
      <c r="G1146" s="83">
        <f t="shared" si="152"/>
        <v>0</v>
      </c>
      <c r="H1146" s="258" t="e">
        <f t="shared" si="149"/>
        <v>#DIV/0!</v>
      </c>
      <c r="I1146" s="124"/>
      <c r="J1146" s="124"/>
      <c r="K1146" s="124"/>
      <c r="L1146" s="125"/>
      <c r="M1146" s="125"/>
    </row>
    <row r="1147" spans="1:13" s="28" customFormat="1" ht="31.5" hidden="1" x14ac:dyDescent="0.2">
      <c r="A1147" s="81" t="s">
        <v>26</v>
      </c>
      <c r="B1147" s="31" t="s">
        <v>619</v>
      </c>
      <c r="C1147" s="31" t="s">
        <v>650</v>
      </c>
      <c r="D1147" s="32" t="s">
        <v>724</v>
      </c>
      <c r="E1147" s="31" t="s">
        <v>37</v>
      </c>
      <c r="F1147" s="83"/>
      <c r="G1147" s="83"/>
      <c r="H1147" s="258" t="e">
        <f t="shared" si="149"/>
        <v>#DIV/0!</v>
      </c>
      <c r="I1147" s="124"/>
      <c r="J1147" s="124"/>
      <c r="K1147" s="124"/>
      <c r="L1147" s="125"/>
      <c r="M1147" s="125"/>
    </row>
    <row r="1148" spans="1:13" s="116" customFormat="1" x14ac:dyDescent="0.2">
      <c r="A1148" s="227" t="s">
        <v>197</v>
      </c>
      <c r="B1148" s="93" t="s">
        <v>619</v>
      </c>
      <c r="C1148" s="93" t="s">
        <v>650</v>
      </c>
      <c r="D1148" s="94" t="s">
        <v>198</v>
      </c>
      <c r="E1148" s="93"/>
      <c r="F1148" s="137">
        <f>F1149+F1176+F1179+F1182+F1185+F1190</f>
        <v>3075.1</v>
      </c>
      <c r="G1148" s="137">
        <f>G1149+G1176+G1179+G1182+G1185+G1190</f>
        <v>2434.6</v>
      </c>
      <c r="H1148" s="258">
        <f t="shared" si="149"/>
        <v>0.7917140905986797</v>
      </c>
      <c r="I1148" s="124"/>
      <c r="J1148" s="124"/>
      <c r="K1148" s="124"/>
      <c r="L1148" s="125"/>
      <c r="M1148" s="125"/>
    </row>
    <row r="1149" spans="1:13" s="5" customFormat="1" ht="33.75" customHeight="1" x14ac:dyDescent="0.2">
      <c r="A1149" s="224" t="s">
        <v>478</v>
      </c>
      <c r="B1149" s="40" t="s">
        <v>619</v>
      </c>
      <c r="C1149" s="40" t="s">
        <v>650</v>
      </c>
      <c r="D1149" s="106" t="s">
        <v>481</v>
      </c>
      <c r="E1149" s="40"/>
      <c r="F1149" s="87">
        <f>F1150+F1152+F1154+F1159</f>
        <v>2590.6999999999998</v>
      </c>
      <c r="G1149" s="87">
        <f>G1150+G1152+G1154+G1159</f>
        <v>2210.9</v>
      </c>
      <c r="H1149" s="258">
        <f t="shared" si="149"/>
        <v>0.8533986953333077</v>
      </c>
      <c r="I1149" s="228"/>
      <c r="J1149" s="228"/>
      <c r="K1149" s="228"/>
      <c r="L1149"/>
      <c r="M1149"/>
    </row>
    <row r="1150" spans="1:13" s="5" customFormat="1" ht="62.45" customHeight="1" x14ac:dyDescent="0.2">
      <c r="A1150" s="81" t="s">
        <v>23</v>
      </c>
      <c r="B1150" s="31" t="s">
        <v>619</v>
      </c>
      <c r="C1150" s="31" t="s">
        <v>650</v>
      </c>
      <c r="D1150" s="32" t="s">
        <v>481</v>
      </c>
      <c r="E1150" s="31" t="s">
        <v>43</v>
      </c>
      <c r="F1150" s="83">
        <f>F1151</f>
        <v>46.3</v>
      </c>
      <c r="G1150" s="83">
        <f>G1151</f>
        <v>5.3</v>
      </c>
      <c r="H1150" s="258">
        <f t="shared" si="149"/>
        <v>0.1144708423326134</v>
      </c>
      <c r="I1150" s="228"/>
      <c r="J1150" s="228"/>
      <c r="K1150" s="228"/>
      <c r="L1150"/>
      <c r="M1150"/>
    </row>
    <row r="1151" spans="1:13" s="5" customFormat="1" x14ac:dyDescent="0.2">
      <c r="A1151" s="81" t="s">
        <v>142</v>
      </c>
      <c r="B1151" s="31" t="s">
        <v>619</v>
      </c>
      <c r="C1151" s="31" t="s">
        <v>650</v>
      </c>
      <c r="D1151" s="32" t="s">
        <v>481</v>
      </c>
      <c r="E1151" s="31" t="s">
        <v>143</v>
      </c>
      <c r="F1151" s="82">
        <v>46.3</v>
      </c>
      <c r="G1151" s="82">
        <v>5.3</v>
      </c>
      <c r="H1151" s="258">
        <f t="shared" si="149"/>
        <v>0.1144708423326134</v>
      </c>
      <c r="I1151" s="228"/>
      <c r="J1151" s="228"/>
      <c r="K1151" s="228"/>
      <c r="L1151"/>
      <c r="M1151"/>
    </row>
    <row r="1152" spans="1:13" s="5" customFormat="1" ht="31.5" x14ac:dyDescent="0.2">
      <c r="A1152" s="81" t="s">
        <v>25</v>
      </c>
      <c r="B1152" s="31" t="s">
        <v>619</v>
      </c>
      <c r="C1152" s="31" t="s">
        <v>650</v>
      </c>
      <c r="D1152" s="32" t="s">
        <v>481</v>
      </c>
      <c r="E1152" s="31" t="s">
        <v>36</v>
      </c>
      <c r="F1152" s="83">
        <f>F1153</f>
        <v>959.4</v>
      </c>
      <c r="G1152" s="83">
        <f>G1153</f>
        <v>795.7</v>
      </c>
      <c r="H1152" s="258">
        <f t="shared" si="149"/>
        <v>0.82937252449447574</v>
      </c>
      <c r="I1152" s="228"/>
      <c r="J1152" s="228"/>
      <c r="K1152" s="228"/>
      <c r="L1152"/>
      <c r="M1152"/>
    </row>
    <row r="1153" spans="1:13" s="5" customFormat="1" ht="31.5" x14ac:dyDescent="0.2">
      <c r="A1153" s="81" t="s">
        <v>26</v>
      </c>
      <c r="B1153" s="31" t="s">
        <v>619</v>
      </c>
      <c r="C1153" s="31" t="s">
        <v>650</v>
      </c>
      <c r="D1153" s="32" t="s">
        <v>481</v>
      </c>
      <c r="E1153" s="31" t="s">
        <v>37</v>
      </c>
      <c r="F1153" s="82">
        <v>959.4</v>
      </c>
      <c r="G1153" s="82">
        <v>795.7</v>
      </c>
      <c r="H1153" s="258">
        <f t="shared" si="149"/>
        <v>0.82937252449447574</v>
      </c>
      <c r="I1153" s="228"/>
      <c r="J1153" s="228"/>
      <c r="K1153" s="228"/>
      <c r="L1153"/>
      <c r="M1153"/>
    </row>
    <row r="1154" spans="1:13" s="5" customFormat="1" x14ac:dyDescent="0.2">
      <c r="A1154" s="81" t="s">
        <v>27</v>
      </c>
      <c r="B1154" s="31" t="s">
        <v>619</v>
      </c>
      <c r="C1154" s="31" t="s">
        <v>650</v>
      </c>
      <c r="D1154" s="32" t="s">
        <v>481</v>
      </c>
      <c r="E1154" s="31" t="s">
        <v>155</v>
      </c>
      <c r="F1154" s="83">
        <f>F1155+F1156</f>
        <v>19.8</v>
      </c>
      <c r="G1154" s="83">
        <f>G1155+G1156</f>
        <v>0</v>
      </c>
      <c r="H1154" s="258">
        <f t="shared" si="149"/>
        <v>0</v>
      </c>
      <c r="I1154" s="228"/>
      <c r="J1154" s="228"/>
      <c r="K1154" s="228"/>
      <c r="L1154"/>
      <c r="M1154"/>
    </row>
    <row r="1155" spans="1:13" s="5" customFormat="1" x14ac:dyDescent="0.2">
      <c r="A1155" s="81" t="s">
        <v>28</v>
      </c>
      <c r="B1155" s="31" t="s">
        <v>619</v>
      </c>
      <c r="C1155" s="31" t="s">
        <v>650</v>
      </c>
      <c r="D1155" s="32" t="s">
        <v>481</v>
      </c>
      <c r="E1155" s="31" t="s">
        <v>725</v>
      </c>
      <c r="F1155" s="83">
        <v>19.8</v>
      </c>
      <c r="G1155" s="83">
        <v>0</v>
      </c>
      <c r="H1155" s="258">
        <f t="shared" si="149"/>
        <v>0</v>
      </c>
      <c r="I1155" s="228"/>
      <c r="J1155" s="228"/>
      <c r="K1155" s="228"/>
      <c r="L1155"/>
      <c r="M1155"/>
    </row>
    <row r="1156" spans="1:13" s="5" customFormat="1" hidden="1" x14ac:dyDescent="0.2">
      <c r="A1156" s="81" t="s">
        <v>156</v>
      </c>
      <c r="B1156" s="31" t="s">
        <v>619</v>
      </c>
      <c r="C1156" s="31" t="s">
        <v>650</v>
      </c>
      <c r="D1156" s="32" t="s">
        <v>481</v>
      </c>
      <c r="E1156" s="31" t="s">
        <v>157</v>
      </c>
      <c r="F1156" s="83"/>
      <c r="G1156" s="83"/>
      <c r="H1156" s="258" t="e">
        <f t="shared" si="149"/>
        <v>#DIV/0!</v>
      </c>
      <c r="I1156" s="228"/>
      <c r="J1156" s="228"/>
      <c r="K1156" s="228"/>
      <c r="L1156"/>
      <c r="M1156"/>
    </row>
    <row r="1157" spans="1:13" s="98" customFormat="1" ht="19.899999999999999" hidden="1" customHeight="1" x14ac:dyDescent="0.2">
      <c r="A1157" s="81" t="s">
        <v>29</v>
      </c>
      <c r="B1157" s="31" t="s">
        <v>619</v>
      </c>
      <c r="C1157" s="31" t="s">
        <v>650</v>
      </c>
      <c r="D1157" s="32" t="s">
        <v>481</v>
      </c>
      <c r="E1157" s="31" t="s">
        <v>130</v>
      </c>
      <c r="F1157" s="83">
        <f>F1158</f>
        <v>0</v>
      </c>
      <c r="G1157" s="83">
        <f>G1158</f>
        <v>0</v>
      </c>
      <c r="H1157" s="258" t="e">
        <f t="shared" si="149"/>
        <v>#DIV/0!</v>
      </c>
      <c r="I1157" s="228"/>
      <c r="J1157" s="228"/>
      <c r="K1157" s="228"/>
      <c r="L1157"/>
      <c r="M1157"/>
    </row>
    <row r="1158" spans="1:13" s="98" customFormat="1" hidden="1" x14ac:dyDescent="0.2">
      <c r="A1158" s="81" t="s">
        <v>50</v>
      </c>
      <c r="B1158" s="31" t="s">
        <v>619</v>
      </c>
      <c r="C1158" s="31" t="s">
        <v>650</v>
      </c>
      <c r="D1158" s="32" t="s">
        <v>481</v>
      </c>
      <c r="E1158" s="31" t="s">
        <v>277</v>
      </c>
      <c r="F1158" s="82">
        <f>1107-80-1027</f>
        <v>0</v>
      </c>
      <c r="G1158" s="82">
        <f>1107-80-1027</f>
        <v>0</v>
      </c>
      <c r="H1158" s="258" t="e">
        <f t="shared" si="149"/>
        <v>#DIV/0!</v>
      </c>
      <c r="I1158" s="228"/>
      <c r="J1158" s="228"/>
      <c r="K1158" s="228"/>
      <c r="L1158"/>
      <c r="M1158"/>
    </row>
    <row r="1159" spans="1:13" s="98" customFormat="1" ht="47.25" x14ac:dyDescent="0.2">
      <c r="A1159" s="81" t="s">
        <v>726</v>
      </c>
      <c r="B1159" s="31" t="s">
        <v>619</v>
      </c>
      <c r="C1159" s="31" t="s">
        <v>650</v>
      </c>
      <c r="D1159" s="32" t="s">
        <v>727</v>
      </c>
      <c r="E1159" s="31"/>
      <c r="F1159" s="83">
        <f>F1160+F1167+F1170+F1173</f>
        <v>1565.2</v>
      </c>
      <c r="G1159" s="83">
        <f>G1160+G1167+G1170+G1173</f>
        <v>1409.9</v>
      </c>
      <c r="H1159" s="258">
        <f t="shared" si="149"/>
        <v>0.90077945310503449</v>
      </c>
      <c r="I1159" s="228"/>
      <c r="J1159" s="228"/>
      <c r="K1159" s="228"/>
      <c r="L1159"/>
      <c r="M1159"/>
    </row>
    <row r="1160" spans="1:13" s="98" customFormat="1" ht="31.5" x14ac:dyDescent="0.2">
      <c r="A1160" s="81" t="s">
        <v>728</v>
      </c>
      <c r="B1160" s="31" t="s">
        <v>619</v>
      </c>
      <c r="C1160" s="31" t="s">
        <v>650</v>
      </c>
      <c r="D1160" s="32" t="s">
        <v>729</v>
      </c>
      <c r="E1160" s="31"/>
      <c r="F1160" s="83">
        <f>F1161+F1163+F1165</f>
        <v>210</v>
      </c>
      <c r="G1160" s="83">
        <f>G1161+G1163+G1165</f>
        <v>54.7</v>
      </c>
      <c r="H1160" s="258">
        <f t="shared" si="149"/>
        <v>0.26047619047619047</v>
      </c>
      <c r="I1160" s="228"/>
      <c r="J1160" s="228"/>
      <c r="K1160" s="228"/>
      <c r="L1160"/>
      <c r="M1160"/>
    </row>
    <row r="1161" spans="1:13" s="98" customFormat="1" ht="31.5" hidden="1" x14ac:dyDescent="0.2">
      <c r="A1161" s="81" t="s">
        <v>25</v>
      </c>
      <c r="B1161" s="31" t="s">
        <v>619</v>
      </c>
      <c r="C1161" s="31" t="s">
        <v>650</v>
      </c>
      <c r="D1161" s="32" t="s">
        <v>729</v>
      </c>
      <c r="E1161" s="31" t="s">
        <v>36</v>
      </c>
      <c r="F1161" s="83">
        <f>F1162</f>
        <v>0</v>
      </c>
      <c r="G1161" s="83">
        <f>G1162</f>
        <v>0</v>
      </c>
      <c r="H1161" s="258" t="e">
        <f t="shared" si="149"/>
        <v>#DIV/0!</v>
      </c>
      <c r="I1161" s="228"/>
      <c r="J1161" s="228"/>
      <c r="K1161" s="228"/>
      <c r="L1161"/>
      <c r="M1161"/>
    </row>
    <row r="1162" spans="1:13" s="98" customFormat="1" ht="31.5" hidden="1" x14ac:dyDescent="0.2">
      <c r="A1162" s="81" t="s">
        <v>26</v>
      </c>
      <c r="B1162" s="31" t="s">
        <v>619</v>
      </c>
      <c r="C1162" s="31" t="s">
        <v>650</v>
      </c>
      <c r="D1162" s="32" t="s">
        <v>729</v>
      </c>
      <c r="E1162" s="31" t="s">
        <v>37</v>
      </c>
      <c r="F1162" s="83"/>
      <c r="G1162" s="83"/>
      <c r="H1162" s="258" t="e">
        <f t="shared" si="149"/>
        <v>#DIV/0!</v>
      </c>
      <c r="I1162" s="228"/>
      <c r="J1162" s="228"/>
      <c r="K1162" s="228"/>
      <c r="L1162"/>
      <c r="M1162"/>
    </row>
    <row r="1163" spans="1:13" s="98" customFormat="1" ht="31.5" hidden="1" x14ac:dyDescent="0.2">
      <c r="A1163" s="81" t="s">
        <v>150</v>
      </c>
      <c r="B1163" s="31" t="s">
        <v>619</v>
      </c>
      <c r="C1163" s="31" t="s">
        <v>650</v>
      </c>
      <c r="D1163" s="32" t="s">
        <v>729</v>
      </c>
      <c r="E1163" s="31" t="s">
        <v>151</v>
      </c>
      <c r="F1163" s="83">
        <f>F1164</f>
        <v>0</v>
      </c>
      <c r="G1163" s="83">
        <f>G1164</f>
        <v>0</v>
      </c>
      <c r="H1163" s="258" t="e">
        <f t="shared" si="149"/>
        <v>#DIV/0!</v>
      </c>
      <c r="I1163" s="228"/>
      <c r="J1163" s="228"/>
      <c r="K1163" s="228"/>
      <c r="L1163"/>
      <c r="M1163"/>
    </row>
    <row r="1164" spans="1:13" s="98" customFormat="1" hidden="1" x14ac:dyDescent="0.2">
      <c r="A1164" s="81" t="s">
        <v>152</v>
      </c>
      <c r="B1164" s="31" t="s">
        <v>619</v>
      </c>
      <c r="C1164" s="31" t="s">
        <v>650</v>
      </c>
      <c r="D1164" s="32" t="s">
        <v>729</v>
      </c>
      <c r="E1164" s="31" t="s">
        <v>153</v>
      </c>
      <c r="F1164" s="83"/>
      <c r="G1164" s="83"/>
      <c r="H1164" s="258" t="e">
        <f t="shared" si="149"/>
        <v>#DIV/0!</v>
      </c>
      <c r="I1164" s="228"/>
      <c r="J1164" s="228"/>
      <c r="K1164" s="228"/>
      <c r="L1164"/>
      <c r="M1164"/>
    </row>
    <row r="1165" spans="1:13" s="98" customFormat="1" ht="31.5" x14ac:dyDescent="0.2">
      <c r="A1165" s="81" t="s">
        <v>25</v>
      </c>
      <c r="B1165" s="31" t="s">
        <v>619</v>
      </c>
      <c r="C1165" s="31" t="s">
        <v>650</v>
      </c>
      <c r="D1165" s="32" t="s">
        <v>729</v>
      </c>
      <c r="E1165" s="31" t="s">
        <v>36</v>
      </c>
      <c r="F1165" s="83">
        <f>F1166</f>
        <v>210</v>
      </c>
      <c r="G1165" s="83">
        <f>G1166</f>
        <v>54.7</v>
      </c>
      <c r="H1165" s="258">
        <f t="shared" si="149"/>
        <v>0.26047619047619047</v>
      </c>
      <c r="I1165" s="228"/>
      <c r="J1165" s="228"/>
      <c r="K1165" s="228"/>
      <c r="L1165"/>
      <c r="M1165"/>
    </row>
    <row r="1166" spans="1:13" s="98" customFormat="1" ht="31.5" x14ac:dyDescent="0.2">
      <c r="A1166" s="81" t="s">
        <v>26</v>
      </c>
      <c r="B1166" s="31" t="s">
        <v>619</v>
      </c>
      <c r="C1166" s="31" t="s">
        <v>650</v>
      </c>
      <c r="D1166" s="32" t="s">
        <v>729</v>
      </c>
      <c r="E1166" s="31" t="s">
        <v>37</v>
      </c>
      <c r="F1166" s="83">
        <v>210</v>
      </c>
      <c r="G1166" s="83">
        <v>54.7</v>
      </c>
      <c r="H1166" s="258">
        <f t="shared" si="149"/>
        <v>0.26047619047619047</v>
      </c>
      <c r="I1166" s="228"/>
      <c r="J1166" s="228"/>
      <c r="K1166" s="228"/>
      <c r="L1166"/>
      <c r="M1166"/>
    </row>
    <row r="1167" spans="1:13" s="98" customFormat="1" ht="34.9" hidden="1" customHeight="1" x14ac:dyDescent="0.2">
      <c r="A1167" s="81" t="s">
        <v>730</v>
      </c>
      <c r="B1167" s="31" t="s">
        <v>619</v>
      </c>
      <c r="C1167" s="31" t="s">
        <v>650</v>
      </c>
      <c r="D1167" s="32" t="s">
        <v>731</v>
      </c>
      <c r="E1167" s="31"/>
      <c r="F1167" s="83">
        <f>F1168</f>
        <v>0</v>
      </c>
      <c r="G1167" s="83">
        <f>G1168</f>
        <v>0</v>
      </c>
      <c r="H1167" s="258" t="e">
        <f t="shared" si="149"/>
        <v>#DIV/0!</v>
      </c>
      <c r="I1167" s="228"/>
      <c r="J1167" s="228"/>
      <c r="K1167" s="228"/>
      <c r="L1167"/>
      <c r="M1167"/>
    </row>
    <row r="1168" spans="1:13" s="98" customFormat="1" ht="31.5" hidden="1" x14ac:dyDescent="0.2">
      <c r="A1168" s="81" t="s">
        <v>25</v>
      </c>
      <c r="B1168" s="31" t="s">
        <v>619</v>
      </c>
      <c r="C1168" s="31" t="s">
        <v>650</v>
      </c>
      <c r="D1168" s="32" t="s">
        <v>731</v>
      </c>
      <c r="E1168" s="31" t="s">
        <v>36</v>
      </c>
      <c r="F1168" s="83">
        <f>F1169</f>
        <v>0</v>
      </c>
      <c r="G1168" s="83">
        <f>G1169</f>
        <v>0</v>
      </c>
      <c r="H1168" s="258" t="e">
        <f t="shared" si="149"/>
        <v>#DIV/0!</v>
      </c>
      <c r="I1168" s="228"/>
      <c r="J1168" s="228"/>
      <c r="K1168" s="228"/>
      <c r="L1168"/>
      <c r="M1168"/>
    </row>
    <row r="1169" spans="1:13" s="98" customFormat="1" ht="31.5" hidden="1" x14ac:dyDescent="0.2">
      <c r="A1169" s="81" t="s">
        <v>26</v>
      </c>
      <c r="B1169" s="31" t="s">
        <v>619</v>
      </c>
      <c r="C1169" s="31" t="s">
        <v>650</v>
      </c>
      <c r="D1169" s="32" t="s">
        <v>731</v>
      </c>
      <c r="E1169" s="31" t="s">
        <v>37</v>
      </c>
      <c r="F1169" s="83">
        <f>3150-3150</f>
        <v>0</v>
      </c>
      <c r="G1169" s="83">
        <f>3150-3150</f>
        <v>0</v>
      </c>
      <c r="H1169" s="258" t="e">
        <f t="shared" si="149"/>
        <v>#DIV/0!</v>
      </c>
      <c r="I1169" s="228"/>
      <c r="J1169" s="228"/>
      <c r="K1169" s="228"/>
      <c r="L1169"/>
      <c r="M1169"/>
    </row>
    <row r="1170" spans="1:13" s="98" customFormat="1" ht="49.15" hidden="1" customHeight="1" x14ac:dyDescent="0.2">
      <c r="A1170" s="81" t="s">
        <v>732</v>
      </c>
      <c r="B1170" s="31" t="s">
        <v>619</v>
      </c>
      <c r="C1170" s="31" t="s">
        <v>650</v>
      </c>
      <c r="D1170" s="32" t="s">
        <v>733</v>
      </c>
      <c r="E1170" s="31"/>
      <c r="F1170" s="83">
        <f>F1171</f>
        <v>0</v>
      </c>
      <c r="G1170" s="83">
        <f>G1171</f>
        <v>0</v>
      </c>
      <c r="H1170" s="258" t="e">
        <f t="shared" si="149"/>
        <v>#DIV/0!</v>
      </c>
      <c r="I1170" s="228"/>
      <c r="J1170" s="228"/>
      <c r="K1170" s="228"/>
      <c r="L1170"/>
      <c r="M1170"/>
    </row>
    <row r="1171" spans="1:13" s="98" customFormat="1" ht="31.5" hidden="1" x14ac:dyDescent="0.2">
      <c r="A1171" s="81" t="s">
        <v>25</v>
      </c>
      <c r="B1171" s="31" t="s">
        <v>619</v>
      </c>
      <c r="C1171" s="31" t="s">
        <v>650</v>
      </c>
      <c r="D1171" s="32" t="s">
        <v>733</v>
      </c>
      <c r="E1171" s="31" t="s">
        <v>36</v>
      </c>
      <c r="F1171" s="83">
        <f>F1172</f>
        <v>0</v>
      </c>
      <c r="G1171" s="83">
        <f>G1172</f>
        <v>0</v>
      </c>
      <c r="H1171" s="258" t="e">
        <f t="shared" si="149"/>
        <v>#DIV/0!</v>
      </c>
      <c r="I1171" s="228"/>
      <c r="J1171" s="228"/>
      <c r="K1171" s="228"/>
      <c r="L1171"/>
      <c r="M1171"/>
    </row>
    <row r="1172" spans="1:13" s="98" customFormat="1" ht="31.5" hidden="1" x14ac:dyDescent="0.2">
      <c r="A1172" s="81" t="s">
        <v>26</v>
      </c>
      <c r="B1172" s="31" t="s">
        <v>619</v>
      </c>
      <c r="C1172" s="31" t="s">
        <v>650</v>
      </c>
      <c r="D1172" s="32" t="s">
        <v>733</v>
      </c>
      <c r="E1172" s="31" t="s">
        <v>37</v>
      </c>
      <c r="F1172" s="83">
        <f>852.2-852.2</f>
        <v>0</v>
      </c>
      <c r="G1172" s="83">
        <f>852.2-852.2</f>
        <v>0</v>
      </c>
      <c r="H1172" s="258" t="e">
        <f t="shared" si="149"/>
        <v>#DIV/0!</v>
      </c>
      <c r="I1172" s="228"/>
      <c r="J1172" s="228"/>
      <c r="K1172" s="228"/>
      <c r="L1172"/>
      <c r="M1172"/>
    </row>
    <row r="1173" spans="1:13" s="98" customFormat="1" ht="31.5" x14ac:dyDescent="0.2">
      <c r="A1173" s="81" t="s">
        <v>734</v>
      </c>
      <c r="B1173" s="31" t="s">
        <v>619</v>
      </c>
      <c r="C1173" s="31" t="s">
        <v>650</v>
      </c>
      <c r="D1173" s="32" t="s">
        <v>735</v>
      </c>
      <c r="E1173" s="31"/>
      <c r="F1173" s="83">
        <f>F1174</f>
        <v>1355.2</v>
      </c>
      <c r="G1173" s="83">
        <f>G1174</f>
        <v>1355.2</v>
      </c>
      <c r="H1173" s="258">
        <f t="shared" si="149"/>
        <v>1</v>
      </c>
      <c r="I1173" s="228"/>
      <c r="J1173" s="228"/>
      <c r="K1173" s="228"/>
      <c r="L1173"/>
      <c r="M1173"/>
    </row>
    <row r="1174" spans="1:13" s="98" customFormat="1" ht="31.5" x14ac:dyDescent="0.2">
      <c r="A1174" s="81" t="s">
        <v>25</v>
      </c>
      <c r="B1174" s="31" t="s">
        <v>619</v>
      </c>
      <c r="C1174" s="31" t="s">
        <v>650</v>
      </c>
      <c r="D1174" s="32" t="s">
        <v>735</v>
      </c>
      <c r="E1174" s="31" t="s">
        <v>36</v>
      </c>
      <c r="F1174" s="83">
        <f>F1175</f>
        <v>1355.2</v>
      </c>
      <c r="G1174" s="83">
        <f>G1175</f>
        <v>1355.2</v>
      </c>
      <c r="H1174" s="258">
        <f t="shared" si="149"/>
        <v>1</v>
      </c>
      <c r="I1174" s="228"/>
      <c r="J1174" s="228"/>
      <c r="K1174" s="228"/>
      <c r="L1174"/>
      <c r="M1174"/>
    </row>
    <row r="1175" spans="1:13" s="98" customFormat="1" ht="31.5" x14ac:dyDescent="0.2">
      <c r="A1175" s="81" t="s">
        <v>26</v>
      </c>
      <c r="B1175" s="31" t="s">
        <v>619</v>
      </c>
      <c r="C1175" s="31" t="s">
        <v>650</v>
      </c>
      <c r="D1175" s="32" t="s">
        <v>735</v>
      </c>
      <c r="E1175" s="31" t="s">
        <v>37</v>
      </c>
      <c r="F1175" s="83">
        <v>1355.2</v>
      </c>
      <c r="G1175" s="83">
        <v>1355.2</v>
      </c>
      <c r="H1175" s="258">
        <f t="shared" ref="H1175:H1238" si="153">G1175/F1175</f>
        <v>1</v>
      </c>
      <c r="I1175" s="228"/>
      <c r="J1175" s="228"/>
      <c r="K1175" s="228"/>
      <c r="L1175"/>
      <c r="M1175"/>
    </row>
    <row r="1176" spans="1:13" s="71" customFormat="1" ht="47.25" x14ac:dyDescent="0.2">
      <c r="A1176" s="171" t="s">
        <v>201</v>
      </c>
      <c r="B1176" s="68" t="s">
        <v>619</v>
      </c>
      <c r="C1176" s="40" t="s">
        <v>650</v>
      </c>
      <c r="D1176" s="68" t="s">
        <v>200</v>
      </c>
      <c r="E1176" s="128"/>
      <c r="F1176" s="129">
        <f>F1177</f>
        <v>65</v>
      </c>
      <c r="G1176" s="129">
        <f>G1177</f>
        <v>55</v>
      </c>
      <c r="H1176" s="258">
        <f t="shared" si="153"/>
        <v>0.84615384615384615</v>
      </c>
      <c r="I1176" s="228"/>
      <c r="J1176" s="228"/>
      <c r="K1176" s="228"/>
      <c r="L1176"/>
      <c r="M1176"/>
    </row>
    <row r="1177" spans="1:13" s="71" customFormat="1" ht="31.5" x14ac:dyDescent="0.2">
      <c r="A1177" s="57" t="s">
        <v>25</v>
      </c>
      <c r="B1177" s="58" t="s">
        <v>619</v>
      </c>
      <c r="C1177" s="31" t="s">
        <v>650</v>
      </c>
      <c r="D1177" s="58" t="s">
        <v>200</v>
      </c>
      <c r="E1177" s="59">
        <v>200</v>
      </c>
      <c r="F1177" s="49">
        <f>F1178</f>
        <v>65</v>
      </c>
      <c r="G1177" s="49">
        <f>G1178</f>
        <v>55</v>
      </c>
      <c r="H1177" s="258">
        <f t="shared" si="153"/>
        <v>0.84615384615384615</v>
      </c>
      <c r="I1177" s="228"/>
      <c r="J1177" s="228"/>
      <c r="K1177" s="228"/>
      <c r="L1177"/>
      <c r="M1177"/>
    </row>
    <row r="1178" spans="1:13" s="71" customFormat="1" ht="31.5" x14ac:dyDescent="0.2">
      <c r="A1178" s="57" t="s">
        <v>26</v>
      </c>
      <c r="B1178" s="58" t="s">
        <v>619</v>
      </c>
      <c r="C1178" s="31" t="s">
        <v>650</v>
      </c>
      <c r="D1178" s="58" t="s">
        <v>200</v>
      </c>
      <c r="E1178" s="59">
        <v>240</v>
      </c>
      <c r="F1178" s="49">
        <v>65</v>
      </c>
      <c r="G1178" s="49">
        <v>55</v>
      </c>
      <c r="H1178" s="258">
        <f t="shared" si="153"/>
        <v>0.84615384615384615</v>
      </c>
      <c r="I1178" s="228"/>
      <c r="J1178" s="228"/>
      <c r="K1178" s="228"/>
      <c r="L1178"/>
      <c r="M1178"/>
    </row>
    <row r="1179" spans="1:13" s="71" customFormat="1" ht="47.25" x14ac:dyDescent="0.2">
      <c r="A1179" s="171" t="s">
        <v>210</v>
      </c>
      <c r="B1179" s="68" t="s">
        <v>619</v>
      </c>
      <c r="C1179" s="40" t="s">
        <v>650</v>
      </c>
      <c r="D1179" s="68" t="s">
        <v>211</v>
      </c>
      <c r="E1179" s="128"/>
      <c r="F1179" s="129">
        <f>F1180</f>
        <v>33.4</v>
      </c>
      <c r="G1179" s="129">
        <f>G1180</f>
        <v>7.2</v>
      </c>
      <c r="H1179" s="258">
        <f t="shared" si="153"/>
        <v>0.21556886227544911</v>
      </c>
      <c r="I1179" s="228"/>
      <c r="J1179" s="228"/>
      <c r="K1179" s="228"/>
      <c r="L1179"/>
      <c r="M1179"/>
    </row>
    <row r="1180" spans="1:13" s="71" customFormat="1" ht="31.5" x14ac:dyDescent="0.2">
      <c r="A1180" s="57" t="s">
        <v>25</v>
      </c>
      <c r="B1180" s="58" t="s">
        <v>619</v>
      </c>
      <c r="C1180" s="31" t="s">
        <v>650</v>
      </c>
      <c r="D1180" s="199" t="s">
        <v>211</v>
      </c>
      <c r="E1180" s="59">
        <v>200</v>
      </c>
      <c r="F1180" s="49">
        <f>F1181</f>
        <v>33.4</v>
      </c>
      <c r="G1180" s="49">
        <f>G1181</f>
        <v>7.2</v>
      </c>
      <c r="H1180" s="258">
        <f t="shared" si="153"/>
        <v>0.21556886227544911</v>
      </c>
      <c r="I1180" s="228"/>
      <c r="J1180" s="228"/>
      <c r="K1180" s="228"/>
      <c r="L1180"/>
      <c r="M1180"/>
    </row>
    <row r="1181" spans="1:13" s="71" customFormat="1" ht="31.5" x14ac:dyDescent="0.2">
      <c r="A1181" s="57" t="s">
        <v>26</v>
      </c>
      <c r="B1181" s="58" t="s">
        <v>619</v>
      </c>
      <c r="C1181" s="31" t="s">
        <v>650</v>
      </c>
      <c r="D1181" s="199" t="s">
        <v>211</v>
      </c>
      <c r="E1181" s="59">
        <v>240</v>
      </c>
      <c r="F1181" s="49">
        <f>46-12.6</f>
        <v>33.4</v>
      </c>
      <c r="G1181" s="49">
        <v>7.2</v>
      </c>
      <c r="H1181" s="258">
        <f t="shared" si="153"/>
        <v>0.21556886227544911</v>
      </c>
      <c r="I1181" s="228"/>
      <c r="J1181" s="228"/>
      <c r="K1181" s="228"/>
      <c r="L1181"/>
      <c r="M1181"/>
    </row>
    <row r="1182" spans="1:13" s="45" customFormat="1" ht="47.25" x14ac:dyDescent="0.2">
      <c r="A1182" s="105" t="s">
        <v>423</v>
      </c>
      <c r="B1182" s="58" t="s">
        <v>619</v>
      </c>
      <c r="C1182" s="31" t="s">
        <v>650</v>
      </c>
      <c r="D1182" s="162" t="s">
        <v>424</v>
      </c>
      <c r="E1182" s="106"/>
      <c r="F1182" s="129">
        <f>F1183</f>
        <v>300</v>
      </c>
      <c r="G1182" s="129">
        <f>G1183</f>
        <v>150</v>
      </c>
      <c r="H1182" s="258">
        <f t="shared" si="153"/>
        <v>0.5</v>
      </c>
      <c r="I1182" s="124"/>
      <c r="J1182" s="124"/>
      <c r="K1182" s="124"/>
      <c r="L1182" s="125"/>
      <c r="M1182" s="125"/>
    </row>
    <row r="1183" spans="1:13" s="45" customFormat="1" ht="31.5" x14ac:dyDescent="0.2">
      <c r="A1183" s="57" t="s">
        <v>25</v>
      </c>
      <c r="B1183" s="58" t="s">
        <v>619</v>
      </c>
      <c r="C1183" s="31" t="s">
        <v>650</v>
      </c>
      <c r="D1183" s="31" t="s">
        <v>424</v>
      </c>
      <c r="E1183" s="32">
        <v>200</v>
      </c>
      <c r="F1183" s="29">
        <f>F1184</f>
        <v>300</v>
      </c>
      <c r="G1183" s="29">
        <f>G1184</f>
        <v>150</v>
      </c>
      <c r="H1183" s="258">
        <f t="shared" si="153"/>
        <v>0.5</v>
      </c>
      <c r="I1183" s="124"/>
      <c r="J1183" s="124"/>
      <c r="K1183" s="124"/>
      <c r="L1183" s="125"/>
      <c r="M1183" s="125"/>
    </row>
    <row r="1184" spans="1:13" s="45" customFormat="1" ht="31.5" x14ac:dyDescent="0.2">
      <c r="A1184" s="57" t="s">
        <v>26</v>
      </c>
      <c r="B1184" s="58" t="s">
        <v>619</v>
      </c>
      <c r="C1184" s="31" t="s">
        <v>650</v>
      </c>
      <c r="D1184" s="31" t="s">
        <v>424</v>
      </c>
      <c r="E1184" s="32">
        <v>240</v>
      </c>
      <c r="F1184" s="29">
        <v>300</v>
      </c>
      <c r="G1184" s="29">
        <v>150</v>
      </c>
      <c r="H1184" s="258">
        <f t="shared" si="153"/>
        <v>0.5</v>
      </c>
      <c r="I1184" s="124"/>
      <c r="J1184" s="124"/>
      <c r="K1184" s="124"/>
      <c r="L1184" s="125"/>
      <c r="M1184" s="125"/>
    </row>
    <row r="1185" spans="1:13" s="229" customFormat="1" ht="31.5" x14ac:dyDescent="0.2">
      <c r="A1185" s="115" t="s">
        <v>445</v>
      </c>
      <c r="B1185" s="108" t="s">
        <v>619</v>
      </c>
      <c r="C1185" s="108" t="s">
        <v>650</v>
      </c>
      <c r="D1185" s="108" t="s">
        <v>446</v>
      </c>
      <c r="E1185" s="109"/>
      <c r="F1185" s="110">
        <f>F1188</f>
        <v>86</v>
      </c>
      <c r="G1185" s="110">
        <f>G1188</f>
        <v>11.5</v>
      </c>
      <c r="H1185" s="258">
        <f t="shared" si="153"/>
        <v>0.13372093023255813</v>
      </c>
      <c r="I1185" s="228"/>
      <c r="J1185" s="228"/>
      <c r="K1185" s="228"/>
      <c r="L1185"/>
      <c r="M1185"/>
    </row>
    <row r="1186" spans="1:13" s="229" customFormat="1" ht="64.150000000000006" hidden="1" customHeight="1" x14ac:dyDescent="0.2">
      <c r="A1186" s="81" t="s">
        <v>23</v>
      </c>
      <c r="B1186" s="100" t="s">
        <v>619</v>
      </c>
      <c r="C1186" s="100" t="s">
        <v>650</v>
      </c>
      <c r="D1186" s="100" t="s">
        <v>446</v>
      </c>
      <c r="E1186" s="140">
        <v>100</v>
      </c>
      <c r="F1186" s="97">
        <f>F1187</f>
        <v>0</v>
      </c>
      <c r="G1186" s="97">
        <f>G1187</f>
        <v>0</v>
      </c>
      <c r="H1186" s="258" t="e">
        <f t="shared" si="153"/>
        <v>#DIV/0!</v>
      </c>
      <c r="I1186" s="228"/>
      <c r="J1186" s="228"/>
      <c r="K1186" s="228"/>
      <c r="L1186"/>
      <c r="M1186"/>
    </row>
    <row r="1187" spans="1:13" s="229" customFormat="1" hidden="1" x14ac:dyDescent="0.2">
      <c r="A1187" s="81" t="s">
        <v>142</v>
      </c>
      <c r="B1187" s="100" t="s">
        <v>619</v>
      </c>
      <c r="C1187" s="100" t="s">
        <v>650</v>
      </c>
      <c r="D1187" s="100" t="s">
        <v>446</v>
      </c>
      <c r="E1187" s="140">
        <v>110</v>
      </c>
      <c r="F1187" s="97"/>
      <c r="G1187" s="97"/>
      <c r="H1187" s="258" t="e">
        <f t="shared" si="153"/>
        <v>#DIV/0!</v>
      </c>
      <c r="I1187" s="228"/>
      <c r="J1187" s="228"/>
      <c r="K1187" s="228"/>
      <c r="L1187"/>
      <c r="M1187"/>
    </row>
    <row r="1188" spans="1:13" s="229" customFormat="1" ht="31.5" x14ac:dyDescent="0.2">
      <c r="A1188" s="81" t="s">
        <v>25</v>
      </c>
      <c r="B1188" s="100" t="s">
        <v>619</v>
      </c>
      <c r="C1188" s="100" t="s">
        <v>650</v>
      </c>
      <c r="D1188" s="100" t="s">
        <v>446</v>
      </c>
      <c r="E1188" s="100" t="s">
        <v>36</v>
      </c>
      <c r="F1188" s="97">
        <f>F1189</f>
        <v>86</v>
      </c>
      <c r="G1188" s="97">
        <f>G1189</f>
        <v>11.5</v>
      </c>
      <c r="H1188" s="258">
        <f t="shared" si="153"/>
        <v>0.13372093023255813</v>
      </c>
      <c r="I1188" s="228"/>
      <c r="J1188" s="228"/>
      <c r="K1188" s="228"/>
      <c r="L1188"/>
      <c r="M1188"/>
    </row>
    <row r="1189" spans="1:13" s="230" customFormat="1" ht="31.5" x14ac:dyDescent="0.2">
      <c r="A1189" s="81" t="s">
        <v>26</v>
      </c>
      <c r="B1189" s="100" t="s">
        <v>619</v>
      </c>
      <c r="C1189" s="100" t="s">
        <v>650</v>
      </c>
      <c r="D1189" s="100" t="s">
        <v>446</v>
      </c>
      <c r="E1189" s="100" t="s">
        <v>37</v>
      </c>
      <c r="F1189" s="97">
        <f>98-12</f>
        <v>86</v>
      </c>
      <c r="G1189" s="97">
        <v>11.5</v>
      </c>
      <c r="H1189" s="258">
        <f t="shared" si="153"/>
        <v>0.13372093023255813</v>
      </c>
      <c r="I1189" s="228"/>
      <c r="J1189" s="228"/>
      <c r="K1189" s="228"/>
      <c r="L1189"/>
      <c r="M1189"/>
    </row>
    <row r="1190" spans="1:13" s="229" customFormat="1" ht="63" hidden="1" x14ac:dyDescent="0.2">
      <c r="A1190" s="115" t="s">
        <v>214</v>
      </c>
      <c r="B1190" s="108" t="s">
        <v>619</v>
      </c>
      <c r="C1190" s="108" t="s">
        <v>650</v>
      </c>
      <c r="D1190" s="108" t="s">
        <v>215</v>
      </c>
      <c r="E1190" s="109"/>
      <c r="F1190" s="110">
        <f>F1193</f>
        <v>0</v>
      </c>
      <c r="G1190" s="110">
        <f>G1193</f>
        <v>0</v>
      </c>
      <c r="H1190" s="258" t="e">
        <f t="shared" si="153"/>
        <v>#DIV/0!</v>
      </c>
      <c r="I1190" s="228"/>
      <c r="J1190" s="228"/>
      <c r="K1190" s="228"/>
      <c r="L1190"/>
      <c r="M1190"/>
    </row>
    <row r="1191" spans="1:13" s="229" customFormat="1" ht="64.150000000000006" hidden="1" customHeight="1" x14ac:dyDescent="0.2">
      <c r="A1191" s="81" t="s">
        <v>23</v>
      </c>
      <c r="B1191" s="100" t="s">
        <v>619</v>
      </c>
      <c r="C1191" s="100" t="s">
        <v>650</v>
      </c>
      <c r="D1191" s="100" t="s">
        <v>446</v>
      </c>
      <c r="E1191" s="140">
        <v>100</v>
      </c>
      <c r="F1191" s="97">
        <f>F1192</f>
        <v>0</v>
      </c>
      <c r="G1191" s="97">
        <f>G1192</f>
        <v>0</v>
      </c>
      <c r="H1191" s="258" t="e">
        <f t="shared" si="153"/>
        <v>#DIV/0!</v>
      </c>
      <c r="I1191" s="228"/>
      <c r="J1191" s="228"/>
      <c r="K1191" s="228"/>
      <c r="L1191"/>
      <c r="M1191"/>
    </row>
    <row r="1192" spans="1:13" s="229" customFormat="1" hidden="1" x14ac:dyDescent="0.2">
      <c r="A1192" s="81" t="s">
        <v>142</v>
      </c>
      <c r="B1192" s="100" t="s">
        <v>619</v>
      </c>
      <c r="C1192" s="100" t="s">
        <v>650</v>
      </c>
      <c r="D1192" s="100" t="s">
        <v>446</v>
      </c>
      <c r="E1192" s="140">
        <v>110</v>
      </c>
      <c r="F1192" s="97"/>
      <c r="G1192" s="97"/>
      <c r="H1192" s="258" t="e">
        <f t="shared" si="153"/>
        <v>#DIV/0!</v>
      </c>
      <c r="I1192" s="228"/>
      <c r="J1192" s="228"/>
      <c r="K1192" s="228"/>
      <c r="L1192"/>
      <c r="M1192"/>
    </row>
    <row r="1193" spans="1:13" s="229" customFormat="1" ht="31.5" hidden="1" x14ac:dyDescent="0.2">
      <c r="A1193" s="81" t="s">
        <v>25</v>
      </c>
      <c r="B1193" s="100" t="s">
        <v>619</v>
      </c>
      <c r="C1193" s="100" t="s">
        <v>650</v>
      </c>
      <c r="D1193" s="119" t="s">
        <v>215</v>
      </c>
      <c r="E1193" s="100" t="s">
        <v>36</v>
      </c>
      <c r="F1193" s="97">
        <f>F1194</f>
        <v>0</v>
      </c>
      <c r="G1193" s="97">
        <f>G1194</f>
        <v>0</v>
      </c>
      <c r="H1193" s="258" t="e">
        <f t="shared" si="153"/>
        <v>#DIV/0!</v>
      </c>
      <c r="I1193" s="228"/>
      <c r="J1193" s="228"/>
      <c r="K1193" s="228"/>
      <c r="L1193"/>
      <c r="M1193"/>
    </row>
    <row r="1194" spans="1:13" s="230" customFormat="1" ht="31.5" hidden="1" x14ac:dyDescent="0.2">
      <c r="A1194" s="81" t="s">
        <v>26</v>
      </c>
      <c r="B1194" s="100" t="s">
        <v>619</v>
      </c>
      <c r="C1194" s="100" t="s">
        <v>650</v>
      </c>
      <c r="D1194" s="119" t="s">
        <v>215</v>
      </c>
      <c r="E1194" s="100" t="s">
        <v>37</v>
      </c>
      <c r="F1194" s="97">
        <f>100-100</f>
        <v>0</v>
      </c>
      <c r="G1194" s="97">
        <f>100-100</f>
        <v>0</v>
      </c>
      <c r="H1194" s="258" t="e">
        <f t="shared" si="153"/>
        <v>#DIV/0!</v>
      </c>
      <c r="I1194" s="228"/>
      <c r="J1194" s="228"/>
      <c r="K1194" s="228"/>
      <c r="L1194"/>
      <c r="M1194"/>
    </row>
    <row r="1195" spans="1:13" s="231" customFormat="1" x14ac:dyDescent="0.2">
      <c r="A1195" s="90" t="s">
        <v>120</v>
      </c>
      <c r="B1195" s="201" t="s">
        <v>619</v>
      </c>
      <c r="C1195" s="201" t="s">
        <v>650</v>
      </c>
      <c r="D1195" s="15" t="s">
        <v>121</v>
      </c>
      <c r="E1195" s="24"/>
      <c r="F1195" s="65">
        <f>F1196</f>
        <v>519.20000000000005</v>
      </c>
      <c r="G1195" s="65">
        <f>G1196</f>
        <v>443.7</v>
      </c>
      <c r="H1195" s="258">
        <f t="shared" si="153"/>
        <v>0.85458397534668706</v>
      </c>
      <c r="I1195" s="228"/>
      <c r="J1195" s="228"/>
      <c r="K1195" s="228"/>
      <c r="L1195"/>
      <c r="M1195"/>
    </row>
    <row r="1196" spans="1:13" s="230" customFormat="1" ht="31.5" x14ac:dyDescent="0.2">
      <c r="A1196" s="43" t="s">
        <v>531</v>
      </c>
      <c r="B1196" s="31" t="s">
        <v>619</v>
      </c>
      <c r="C1196" s="31" t="s">
        <v>650</v>
      </c>
      <c r="D1196" s="31" t="s">
        <v>379</v>
      </c>
      <c r="E1196" s="32"/>
      <c r="F1196" s="83">
        <f>F1197+F1200</f>
        <v>519.20000000000005</v>
      </c>
      <c r="G1196" s="83">
        <f>G1197+G1200</f>
        <v>443.7</v>
      </c>
      <c r="H1196" s="258">
        <f t="shared" si="153"/>
        <v>0.85458397534668706</v>
      </c>
      <c r="I1196" s="228"/>
      <c r="J1196" s="228"/>
      <c r="K1196" s="228"/>
      <c r="L1196"/>
      <c r="M1196"/>
    </row>
    <row r="1197" spans="1:13" s="28" customFormat="1" ht="31.5" x14ac:dyDescent="0.2">
      <c r="A1197" s="81" t="s">
        <v>25</v>
      </c>
      <c r="B1197" s="31" t="s">
        <v>619</v>
      </c>
      <c r="C1197" s="31" t="s">
        <v>650</v>
      </c>
      <c r="D1197" s="31" t="s">
        <v>379</v>
      </c>
      <c r="E1197" s="32">
        <v>200</v>
      </c>
      <c r="F1197" s="83">
        <f>F1198</f>
        <v>519.20000000000005</v>
      </c>
      <c r="G1197" s="83">
        <f>G1198</f>
        <v>443.7</v>
      </c>
      <c r="H1197" s="258">
        <f t="shared" si="153"/>
        <v>0.85458397534668706</v>
      </c>
      <c r="I1197" s="228"/>
      <c r="J1197" s="228"/>
      <c r="K1197" s="228"/>
      <c r="L1197"/>
      <c r="M1197"/>
    </row>
    <row r="1198" spans="1:13" s="28" customFormat="1" ht="31.5" x14ac:dyDescent="0.2">
      <c r="A1198" s="81" t="s">
        <v>26</v>
      </c>
      <c r="B1198" s="31" t="s">
        <v>619</v>
      </c>
      <c r="C1198" s="31" t="s">
        <v>650</v>
      </c>
      <c r="D1198" s="31" t="s">
        <v>379</v>
      </c>
      <c r="E1198" s="32">
        <v>240</v>
      </c>
      <c r="F1198" s="83">
        <v>519.20000000000005</v>
      </c>
      <c r="G1198" s="83">
        <v>443.7</v>
      </c>
      <c r="H1198" s="258">
        <f t="shared" si="153"/>
        <v>0.85458397534668706</v>
      </c>
      <c r="I1198" s="228"/>
      <c r="J1198" s="228"/>
      <c r="K1198" s="228"/>
      <c r="L1198"/>
      <c r="M1198"/>
    </row>
    <row r="1199" spans="1:13" s="28" customFormat="1" ht="31.5" hidden="1" x14ac:dyDescent="0.2">
      <c r="A1199" s="43" t="s">
        <v>532</v>
      </c>
      <c r="B1199" s="31" t="s">
        <v>619</v>
      </c>
      <c r="C1199" s="31" t="s">
        <v>650</v>
      </c>
      <c r="D1199" s="31" t="s">
        <v>533</v>
      </c>
      <c r="E1199" s="32"/>
      <c r="F1199" s="83">
        <f>F1200</f>
        <v>0</v>
      </c>
      <c r="G1199" s="83">
        <f>G1200</f>
        <v>0</v>
      </c>
      <c r="H1199" s="258" t="e">
        <f t="shared" si="153"/>
        <v>#DIV/0!</v>
      </c>
      <c r="I1199" s="228"/>
      <c r="J1199" s="228"/>
      <c r="K1199" s="228"/>
      <c r="L1199"/>
      <c r="M1199"/>
    </row>
    <row r="1200" spans="1:13" s="28" customFormat="1" ht="31.5" hidden="1" x14ac:dyDescent="0.2">
      <c r="A1200" s="81" t="s">
        <v>25</v>
      </c>
      <c r="B1200" s="31" t="s">
        <v>619</v>
      </c>
      <c r="C1200" s="31" t="s">
        <v>650</v>
      </c>
      <c r="D1200" s="31" t="s">
        <v>533</v>
      </c>
      <c r="E1200" s="32">
        <v>200</v>
      </c>
      <c r="F1200" s="83">
        <f>F1201</f>
        <v>0</v>
      </c>
      <c r="G1200" s="83">
        <f>G1201</f>
        <v>0</v>
      </c>
      <c r="H1200" s="258" t="e">
        <f t="shared" si="153"/>
        <v>#DIV/0!</v>
      </c>
      <c r="I1200" s="228"/>
      <c r="J1200" s="228"/>
      <c r="K1200" s="228"/>
      <c r="L1200"/>
      <c r="M1200"/>
    </row>
    <row r="1201" spans="1:13" s="28" customFormat="1" ht="31.5" hidden="1" x14ac:dyDescent="0.2">
      <c r="A1201" s="81" t="s">
        <v>26</v>
      </c>
      <c r="B1201" s="31" t="s">
        <v>619</v>
      </c>
      <c r="C1201" s="31" t="s">
        <v>650</v>
      </c>
      <c r="D1201" s="31" t="s">
        <v>533</v>
      </c>
      <c r="E1201" s="32">
        <v>240</v>
      </c>
      <c r="F1201" s="83"/>
      <c r="G1201" s="83"/>
      <c r="H1201" s="258" t="e">
        <f t="shared" si="153"/>
        <v>#DIV/0!</v>
      </c>
      <c r="I1201" s="228"/>
      <c r="J1201" s="228"/>
      <c r="K1201" s="228"/>
      <c r="L1201"/>
      <c r="M1201"/>
    </row>
    <row r="1202" spans="1:13" s="45" customFormat="1" ht="20.25" customHeight="1" x14ac:dyDescent="0.2">
      <c r="A1202" s="14" t="s">
        <v>736</v>
      </c>
      <c r="B1202" s="15" t="s">
        <v>619</v>
      </c>
      <c r="C1202" s="15" t="s">
        <v>485</v>
      </c>
      <c r="D1202" s="24"/>
      <c r="E1202" s="24"/>
      <c r="F1202" s="80">
        <f>F1203+F1214+F1235+F1251+F1270+F1282</f>
        <v>32474.9</v>
      </c>
      <c r="G1202" s="80">
        <f>G1203+G1214+G1235+G1251+G1282</f>
        <v>17850.400000000005</v>
      </c>
      <c r="H1202" s="258">
        <f t="shared" si="153"/>
        <v>0.54966758943060656</v>
      </c>
      <c r="I1202" s="228"/>
      <c r="J1202" s="228"/>
      <c r="K1202" s="228"/>
      <c r="L1202"/>
      <c r="M1202"/>
    </row>
    <row r="1203" spans="1:13" s="102" customFormat="1" ht="20.25" customHeight="1" x14ac:dyDescent="0.2">
      <c r="A1203" s="92" t="s">
        <v>67</v>
      </c>
      <c r="B1203" s="93" t="s">
        <v>619</v>
      </c>
      <c r="C1203" s="93" t="s">
        <v>485</v>
      </c>
      <c r="D1203" s="93" t="s">
        <v>68</v>
      </c>
      <c r="E1203" s="94"/>
      <c r="F1203" s="137">
        <f>F1204</f>
        <v>186.79999999999998</v>
      </c>
      <c r="G1203" s="137">
        <f>G1204</f>
        <v>142.89999999999998</v>
      </c>
      <c r="H1203" s="258">
        <f t="shared" si="153"/>
        <v>0.76498929336188437</v>
      </c>
      <c r="I1203" s="228"/>
      <c r="J1203" s="228"/>
      <c r="K1203" s="228"/>
      <c r="L1203"/>
      <c r="M1203"/>
    </row>
    <row r="1204" spans="1:13" s="45" customFormat="1" ht="20.25" customHeight="1" x14ac:dyDescent="0.2">
      <c r="A1204" s="30" t="s">
        <v>33</v>
      </c>
      <c r="B1204" s="31" t="s">
        <v>619</v>
      </c>
      <c r="C1204" s="31" t="s">
        <v>485</v>
      </c>
      <c r="D1204" s="31" t="s">
        <v>69</v>
      </c>
      <c r="E1204" s="24"/>
      <c r="F1204" s="83">
        <f>F1205</f>
        <v>186.79999999999998</v>
      </c>
      <c r="G1204" s="83">
        <f>G1205</f>
        <v>142.89999999999998</v>
      </c>
      <c r="H1204" s="258">
        <f t="shared" si="153"/>
        <v>0.76498929336188437</v>
      </c>
      <c r="I1204" s="228"/>
      <c r="J1204" s="228"/>
      <c r="K1204" s="228"/>
      <c r="L1204"/>
      <c r="M1204"/>
    </row>
    <row r="1205" spans="1:13" s="45" customFormat="1" ht="31.5" x14ac:dyDescent="0.2">
      <c r="A1205" s="81" t="s">
        <v>154</v>
      </c>
      <c r="B1205" s="31" t="s">
        <v>619</v>
      </c>
      <c r="C1205" s="31" t="s">
        <v>485</v>
      </c>
      <c r="D1205" s="31" t="s">
        <v>71</v>
      </c>
      <c r="E1205" s="24"/>
      <c r="F1205" s="83">
        <f>F1206+F1208+F1210</f>
        <v>186.79999999999998</v>
      </c>
      <c r="G1205" s="83">
        <f>G1206+G1208+G1210</f>
        <v>142.89999999999998</v>
      </c>
      <c r="H1205" s="258">
        <f t="shared" si="153"/>
        <v>0.76498929336188437</v>
      </c>
      <c r="I1205" s="228"/>
      <c r="J1205" s="228"/>
      <c r="K1205" s="228"/>
      <c r="L1205"/>
      <c r="M1205"/>
    </row>
    <row r="1206" spans="1:13" s="45" customFormat="1" ht="67.900000000000006" customHeight="1" x14ac:dyDescent="0.2">
      <c r="A1206" s="81" t="s">
        <v>23</v>
      </c>
      <c r="B1206" s="31" t="s">
        <v>619</v>
      </c>
      <c r="C1206" s="31" t="s">
        <v>485</v>
      </c>
      <c r="D1206" s="31" t="s">
        <v>71</v>
      </c>
      <c r="E1206" s="32">
        <v>100</v>
      </c>
      <c r="F1206" s="83">
        <f>F1207</f>
        <v>49.6</v>
      </c>
      <c r="G1206" s="83">
        <f>G1207</f>
        <v>5.7</v>
      </c>
      <c r="H1206" s="258">
        <f t="shared" si="153"/>
        <v>0.11491935483870967</v>
      </c>
      <c r="I1206" s="228"/>
      <c r="J1206" s="228"/>
      <c r="K1206" s="228"/>
      <c r="L1206"/>
      <c r="M1206"/>
    </row>
    <row r="1207" spans="1:13" s="45" customFormat="1" x14ac:dyDescent="0.2">
      <c r="A1207" s="81" t="s">
        <v>142</v>
      </c>
      <c r="B1207" s="31" t="s">
        <v>619</v>
      </c>
      <c r="C1207" s="31" t="s">
        <v>485</v>
      </c>
      <c r="D1207" s="31" t="s">
        <v>71</v>
      </c>
      <c r="E1207" s="32">
        <v>110</v>
      </c>
      <c r="F1207" s="83">
        <v>49.6</v>
      </c>
      <c r="G1207" s="83">
        <f>1.3+4.4</f>
        <v>5.7</v>
      </c>
      <c r="H1207" s="258">
        <f t="shared" si="153"/>
        <v>0.11491935483870967</v>
      </c>
      <c r="I1207" s="228"/>
      <c r="J1207" s="228"/>
      <c r="K1207" s="228"/>
      <c r="L1207"/>
      <c r="M1207"/>
    </row>
    <row r="1208" spans="1:13" s="98" customFormat="1" ht="20.25" customHeight="1" x14ac:dyDescent="0.2">
      <c r="A1208" s="81" t="s">
        <v>25</v>
      </c>
      <c r="B1208" s="31" t="s">
        <v>619</v>
      </c>
      <c r="C1208" s="31" t="s">
        <v>485</v>
      </c>
      <c r="D1208" s="31" t="s">
        <v>71</v>
      </c>
      <c r="E1208" s="32">
        <v>200</v>
      </c>
      <c r="F1208" s="83">
        <f>F1209</f>
        <v>137.19999999999999</v>
      </c>
      <c r="G1208" s="83">
        <f>G1209</f>
        <v>137.19999999999999</v>
      </c>
      <c r="H1208" s="258">
        <f t="shared" si="153"/>
        <v>1</v>
      </c>
      <c r="I1208" s="228"/>
      <c r="J1208" s="228"/>
      <c r="K1208" s="228"/>
      <c r="L1208"/>
      <c r="M1208"/>
    </row>
    <row r="1209" spans="1:13" s="98" customFormat="1" ht="20.25" customHeight="1" x14ac:dyDescent="0.2">
      <c r="A1209" s="81" t="s">
        <v>26</v>
      </c>
      <c r="B1209" s="31" t="s">
        <v>619</v>
      </c>
      <c r="C1209" s="31" t="s">
        <v>485</v>
      </c>
      <c r="D1209" s="31" t="s">
        <v>71</v>
      </c>
      <c r="E1209" s="32">
        <v>240</v>
      </c>
      <c r="F1209" s="83">
        <v>137.19999999999999</v>
      </c>
      <c r="G1209" s="83">
        <v>137.19999999999999</v>
      </c>
      <c r="H1209" s="258">
        <f t="shared" si="153"/>
        <v>1</v>
      </c>
      <c r="I1209" s="228"/>
      <c r="J1209" s="228"/>
      <c r="K1209" s="228"/>
      <c r="L1209"/>
      <c r="M1209"/>
    </row>
    <row r="1210" spans="1:13" s="98" customFormat="1" ht="20.25" hidden="1" customHeight="1" x14ac:dyDescent="0.2">
      <c r="A1210" s="81" t="s">
        <v>27</v>
      </c>
      <c r="B1210" s="31" t="s">
        <v>619</v>
      </c>
      <c r="C1210" s="31" t="s">
        <v>485</v>
      </c>
      <c r="D1210" s="31" t="s">
        <v>71</v>
      </c>
      <c r="E1210" s="32">
        <v>300</v>
      </c>
      <c r="F1210" s="83">
        <f>F1211</f>
        <v>0</v>
      </c>
      <c r="G1210" s="83">
        <f>G1211</f>
        <v>0</v>
      </c>
      <c r="H1210" s="258" t="e">
        <f t="shared" si="153"/>
        <v>#DIV/0!</v>
      </c>
      <c r="I1210" s="228"/>
      <c r="J1210" s="228"/>
      <c r="K1210" s="228"/>
      <c r="L1210"/>
      <c r="M1210"/>
    </row>
    <row r="1211" spans="1:13" s="98" customFormat="1" ht="20.25" hidden="1" customHeight="1" x14ac:dyDescent="0.2">
      <c r="A1211" s="81" t="s">
        <v>156</v>
      </c>
      <c r="B1211" s="31" t="s">
        <v>619</v>
      </c>
      <c r="C1211" s="31" t="s">
        <v>485</v>
      </c>
      <c r="D1211" s="31" t="s">
        <v>71</v>
      </c>
      <c r="E1211" s="32">
        <v>360</v>
      </c>
      <c r="F1211" s="83"/>
      <c r="G1211" s="83"/>
      <c r="H1211" s="258" t="e">
        <f t="shared" si="153"/>
        <v>#DIV/0!</v>
      </c>
      <c r="I1211" s="228"/>
      <c r="J1211" s="228"/>
      <c r="K1211" s="228"/>
      <c r="L1211"/>
      <c r="M1211"/>
    </row>
    <row r="1212" spans="1:13" s="28" customFormat="1" hidden="1" x14ac:dyDescent="0.2">
      <c r="A1212" s="81" t="s">
        <v>29</v>
      </c>
      <c r="B1212" s="31" t="s">
        <v>619</v>
      </c>
      <c r="C1212" s="31" t="s">
        <v>485</v>
      </c>
      <c r="D1212" s="32" t="s">
        <v>737</v>
      </c>
      <c r="E1212" s="31" t="s">
        <v>130</v>
      </c>
      <c r="F1212" s="83">
        <f>F1213</f>
        <v>0</v>
      </c>
      <c r="G1212" s="83">
        <f>G1213</f>
        <v>0</v>
      </c>
      <c r="H1212" s="258" t="e">
        <f t="shared" si="153"/>
        <v>#DIV/0!</v>
      </c>
      <c r="I1212" s="228"/>
      <c r="J1212" s="228"/>
      <c r="K1212" s="228"/>
      <c r="L1212"/>
      <c r="M1212"/>
    </row>
    <row r="1213" spans="1:13" s="28" customFormat="1" hidden="1" x14ac:dyDescent="0.2">
      <c r="A1213" s="81" t="s">
        <v>50</v>
      </c>
      <c r="B1213" s="31" t="s">
        <v>619</v>
      </c>
      <c r="C1213" s="31" t="s">
        <v>485</v>
      </c>
      <c r="D1213" s="32" t="s">
        <v>737</v>
      </c>
      <c r="E1213" s="31" t="s">
        <v>277</v>
      </c>
      <c r="F1213" s="83">
        <f>72-72</f>
        <v>0</v>
      </c>
      <c r="G1213" s="83">
        <f>72-72</f>
        <v>0</v>
      </c>
      <c r="H1213" s="258" t="e">
        <f t="shared" si="153"/>
        <v>#DIV/0!</v>
      </c>
      <c r="I1213" s="228"/>
      <c r="J1213" s="228"/>
      <c r="K1213" s="228"/>
      <c r="L1213"/>
      <c r="M1213"/>
    </row>
    <row r="1214" spans="1:13" s="28" customFormat="1" ht="31.5" x14ac:dyDescent="0.2">
      <c r="A1214" s="23" t="s">
        <v>625</v>
      </c>
      <c r="B1214" s="15" t="s">
        <v>619</v>
      </c>
      <c r="C1214" s="15" t="s">
        <v>485</v>
      </c>
      <c r="D1214" s="24" t="s">
        <v>470</v>
      </c>
      <c r="E1214" s="31"/>
      <c r="F1214" s="80">
        <f>F1215+F1230</f>
        <v>4852.7</v>
      </c>
      <c r="G1214" s="80">
        <f>G1215+G1230</f>
        <v>3063.1000000000004</v>
      </c>
      <c r="H1214" s="258">
        <f t="shared" si="153"/>
        <v>0.63121561192738074</v>
      </c>
      <c r="I1214" s="228"/>
      <c r="J1214" s="228"/>
      <c r="K1214" s="228"/>
      <c r="L1214"/>
      <c r="M1214"/>
    </row>
    <row r="1215" spans="1:13" s="28" customFormat="1" ht="31.5" x14ac:dyDescent="0.2">
      <c r="A1215" s="30" t="s">
        <v>626</v>
      </c>
      <c r="B1215" s="31" t="s">
        <v>619</v>
      </c>
      <c r="C1215" s="31" t="s">
        <v>485</v>
      </c>
      <c r="D1215" s="32" t="s">
        <v>627</v>
      </c>
      <c r="E1215" s="31"/>
      <c r="F1215" s="83">
        <f>F1216</f>
        <v>3530</v>
      </c>
      <c r="G1215" s="83">
        <f>G1216</f>
        <v>1740.4</v>
      </c>
      <c r="H1215" s="258">
        <f t="shared" si="153"/>
        <v>0.49303116147308784</v>
      </c>
      <c r="I1215" s="228"/>
      <c r="J1215" s="228"/>
      <c r="K1215" s="228"/>
      <c r="L1215"/>
      <c r="M1215"/>
    </row>
    <row r="1216" spans="1:13" s="28" customFormat="1" ht="96" customHeight="1" x14ac:dyDescent="0.2">
      <c r="A1216" s="133" t="s">
        <v>628</v>
      </c>
      <c r="B1216" s="40" t="s">
        <v>619</v>
      </c>
      <c r="C1216" s="31" t="s">
        <v>485</v>
      </c>
      <c r="D1216" s="106" t="s">
        <v>629</v>
      </c>
      <c r="E1216" s="40"/>
      <c r="F1216" s="87">
        <f>F1217+F1222+F1225</f>
        <v>3530</v>
      </c>
      <c r="G1216" s="87">
        <f>G1217+G1222+G1225</f>
        <v>1740.4</v>
      </c>
      <c r="H1216" s="258">
        <f t="shared" si="153"/>
        <v>0.49303116147308784</v>
      </c>
      <c r="I1216" s="228"/>
      <c r="J1216" s="228"/>
      <c r="K1216" s="228"/>
      <c r="L1216"/>
      <c r="M1216"/>
    </row>
    <row r="1217" spans="1:13" s="28" customFormat="1" ht="33.75" customHeight="1" x14ac:dyDescent="0.2">
      <c r="A1217" s="30" t="s">
        <v>738</v>
      </c>
      <c r="B1217" s="31" t="s">
        <v>619</v>
      </c>
      <c r="C1217" s="31" t="s">
        <v>485</v>
      </c>
      <c r="D1217" s="32" t="s">
        <v>739</v>
      </c>
      <c r="E1217" s="31"/>
      <c r="F1217" s="83">
        <v>243.2</v>
      </c>
      <c r="G1217" s="83">
        <f>G1218</f>
        <v>142</v>
      </c>
      <c r="H1217" s="258">
        <f t="shared" si="153"/>
        <v>0.58388157894736847</v>
      </c>
      <c r="I1217" s="228"/>
      <c r="J1217" s="228"/>
      <c r="K1217" s="228"/>
      <c r="L1217"/>
      <c r="M1217"/>
    </row>
    <row r="1218" spans="1:13" s="28" customFormat="1" ht="67.150000000000006" customHeight="1" x14ac:dyDescent="0.2">
      <c r="A1218" s="81" t="s">
        <v>23</v>
      </c>
      <c r="B1218" s="31" t="s">
        <v>619</v>
      </c>
      <c r="C1218" s="31" t="s">
        <v>485</v>
      </c>
      <c r="D1218" s="32" t="s">
        <v>739</v>
      </c>
      <c r="E1218" s="31" t="s">
        <v>43</v>
      </c>
      <c r="F1218" s="83">
        <f>F1219</f>
        <v>243.2</v>
      </c>
      <c r="G1218" s="83">
        <f>G1219</f>
        <v>142</v>
      </c>
      <c r="H1218" s="258">
        <f t="shared" si="153"/>
        <v>0.58388157894736847</v>
      </c>
      <c r="I1218" s="228"/>
      <c r="J1218" s="228"/>
      <c r="K1218" s="228"/>
      <c r="L1218"/>
      <c r="M1218"/>
    </row>
    <row r="1219" spans="1:13" s="28" customFormat="1" x14ac:dyDescent="0.2">
      <c r="A1219" s="81" t="s">
        <v>142</v>
      </c>
      <c r="B1219" s="31" t="s">
        <v>619</v>
      </c>
      <c r="C1219" s="31" t="s">
        <v>485</v>
      </c>
      <c r="D1219" s="32" t="s">
        <v>739</v>
      </c>
      <c r="E1219" s="31" t="s">
        <v>143</v>
      </c>
      <c r="F1219" s="83">
        <v>243.2</v>
      </c>
      <c r="G1219" s="83">
        <f>108.4+33.6</f>
        <v>142</v>
      </c>
      <c r="H1219" s="258">
        <f t="shared" si="153"/>
        <v>0.58388157894736847</v>
      </c>
      <c r="I1219" s="228"/>
      <c r="J1219" s="228"/>
      <c r="K1219" s="228"/>
      <c r="L1219"/>
      <c r="M1219"/>
    </row>
    <row r="1220" spans="1:13" s="28" customFormat="1" hidden="1" x14ac:dyDescent="0.2">
      <c r="A1220" s="81" t="s">
        <v>29</v>
      </c>
      <c r="B1220" s="31" t="s">
        <v>619</v>
      </c>
      <c r="C1220" s="31" t="s">
        <v>485</v>
      </c>
      <c r="D1220" s="32" t="s">
        <v>740</v>
      </c>
      <c r="E1220" s="31" t="s">
        <v>130</v>
      </c>
      <c r="F1220" s="83">
        <f>F1221</f>
        <v>0</v>
      </c>
      <c r="G1220" s="83">
        <f>G1221</f>
        <v>0</v>
      </c>
      <c r="H1220" s="258" t="e">
        <f t="shared" si="153"/>
        <v>#DIV/0!</v>
      </c>
      <c r="I1220" s="228"/>
      <c r="J1220" s="228"/>
      <c r="K1220" s="228"/>
      <c r="L1220"/>
      <c r="M1220"/>
    </row>
    <row r="1221" spans="1:13" s="28" customFormat="1" hidden="1" x14ac:dyDescent="0.2">
      <c r="A1221" s="81" t="s">
        <v>50</v>
      </c>
      <c r="B1221" s="31" t="s">
        <v>619</v>
      </c>
      <c r="C1221" s="31" t="s">
        <v>485</v>
      </c>
      <c r="D1221" s="32" t="s">
        <v>740</v>
      </c>
      <c r="E1221" s="31" t="s">
        <v>277</v>
      </c>
      <c r="F1221" s="83"/>
      <c r="G1221" s="83"/>
      <c r="H1221" s="258" t="e">
        <f t="shared" si="153"/>
        <v>#DIV/0!</v>
      </c>
      <c r="I1221" s="228"/>
      <c r="J1221" s="228"/>
      <c r="K1221" s="228"/>
      <c r="L1221"/>
      <c r="M1221"/>
    </row>
    <row r="1222" spans="1:13" s="28" customFormat="1" ht="81" customHeight="1" x14ac:dyDescent="0.2">
      <c r="A1222" s="155" t="s">
        <v>741</v>
      </c>
      <c r="B1222" s="58" t="s">
        <v>619</v>
      </c>
      <c r="C1222" s="58" t="s">
        <v>485</v>
      </c>
      <c r="D1222" s="59" t="s">
        <v>652</v>
      </c>
      <c r="E1222" s="58"/>
      <c r="F1222" s="82">
        <f>F1223</f>
        <v>3266.5</v>
      </c>
      <c r="G1222" s="82">
        <f>G1223</f>
        <v>1584.9</v>
      </c>
      <c r="H1222" s="258">
        <f t="shared" si="153"/>
        <v>0.48519822439920407</v>
      </c>
      <c r="I1222" s="228"/>
      <c r="J1222" s="228"/>
      <c r="K1222" s="228"/>
      <c r="L1222"/>
      <c r="M1222"/>
    </row>
    <row r="1223" spans="1:13" s="28" customFormat="1" ht="67.900000000000006" customHeight="1" x14ac:dyDescent="0.2">
      <c r="A1223" s="155" t="s">
        <v>23</v>
      </c>
      <c r="B1223" s="58" t="s">
        <v>619</v>
      </c>
      <c r="C1223" s="58" t="s">
        <v>485</v>
      </c>
      <c r="D1223" s="59" t="s">
        <v>652</v>
      </c>
      <c r="E1223" s="58" t="s">
        <v>43</v>
      </c>
      <c r="F1223" s="82">
        <f>F1224</f>
        <v>3266.5</v>
      </c>
      <c r="G1223" s="82">
        <f>G1224</f>
        <v>1584.9</v>
      </c>
      <c r="H1223" s="258">
        <f t="shared" si="153"/>
        <v>0.48519822439920407</v>
      </c>
      <c r="I1223" s="228"/>
      <c r="J1223" s="228"/>
      <c r="K1223" s="228"/>
      <c r="L1223"/>
      <c r="M1223"/>
    </row>
    <row r="1224" spans="1:13" s="28" customFormat="1" x14ac:dyDescent="0.2">
      <c r="A1224" s="155" t="s">
        <v>142</v>
      </c>
      <c r="B1224" s="58" t="s">
        <v>619</v>
      </c>
      <c r="C1224" s="58" t="s">
        <v>485</v>
      </c>
      <c r="D1224" s="59" t="s">
        <v>652</v>
      </c>
      <c r="E1224" s="58" t="s">
        <v>143</v>
      </c>
      <c r="F1224" s="82">
        <v>3266.5</v>
      </c>
      <c r="G1224" s="82">
        <f>1219+365.9</f>
        <v>1584.9</v>
      </c>
      <c r="H1224" s="258">
        <f t="shared" si="153"/>
        <v>0.48519822439920407</v>
      </c>
      <c r="I1224" s="228"/>
      <c r="J1224" s="228"/>
      <c r="K1224" s="228"/>
      <c r="L1224"/>
      <c r="M1224"/>
    </row>
    <row r="1225" spans="1:13" s="45" customFormat="1" ht="49.15" customHeight="1" x14ac:dyDescent="0.2">
      <c r="A1225" s="30" t="s">
        <v>643</v>
      </c>
      <c r="B1225" s="31" t="s">
        <v>619</v>
      </c>
      <c r="C1225" s="31" t="s">
        <v>485</v>
      </c>
      <c r="D1225" s="32" t="s">
        <v>672</v>
      </c>
      <c r="E1225" s="31"/>
      <c r="F1225" s="83">
        <f>F1226+F1228</f>
        <v>20.3</v>
      </c>
      <c r="G1225" s="83">
        <f>G1226+G1228</f>
        <v>13.5</v>
      </c>
      <c r="H1225" s="258">
        <f t="shared" si="153"/>
        <v>0.66502463054187189</v>
      </c>
      <c r="I1225" s="228"/>
      <c r="J1225" s="228"/>
      <c r="K1225" s="228"/>
      <c r="L1225"/>
      <c r="M1225"/>
    </row>
    <row r="1226" spans="1:13" s="45" customFormat="1" ht="66" customHeight="1" x14ac:dyDescent="0.2">
      <c r="A1226" s="81" t="s">
        <v>23</v>
      </c>
      <c r="B1226" s="31" t="s">
        <v>619</v>
      </c>
      <c r="C1226" s="31" t="s">
        <v>485</v>
      </c>
      <c r="D1226" s="32" t="s">
        <v>672</v>
      </c>
      <c r="E1226" s="31" t="s">
        <v>43</v>
      </c>
      <c r="F1226" s="83">
        <f>F1227</f>
        <v>20.3</v>
      </c>
      <c r="G1226" s="83">
        <f>G1227</f>
        <v>13.5</v>
      </c>
      <c r="H1226" s="258">
        <f t="shared" si="153"/>
        <v>0.66502463054187189</v>
      </c>
      <c r="I1226" s="228"/>
      <c r="J1226" s="228"/>
      <c r="K1226" s="228"/>
      <c r="L1226"/>
      <c r="M1226"/>
    </row>
    <row r="1227" spans="1:13" s="45" customFormat="1" x14ac:dyDescent="0.2">
      <c r="A1227" s="81" t="s">
        <v>142</v>
      </c>
      <c r="B1227" s="31" t="s">
        <v>619</v>
      </c>
      <c r="C1227" s="31" t="s">
        <v>485</v>
      </c>
      <c r="D1227" s="32" t="s">
        <v>672</v>
      </c>
      <c r="E1227" s="31" t="s">
        <v>143</v>
      </c>
      <c r="F1227" s="83">
        <v>20.3</v>
      </c>
      <c r="G1227" s="83">
        <f>10.4+3.1</f>
        <v>13.5</v>
      </c>
      <c r="H1227" s="258">
        <f t="shared" si="153"/>
        <v>0.66502463054187189</v>
      </c>
      <c r="I1227" s="228"/>
      <c r="J1227" s="228"/>
      <c r="K1227" s="228"/>
      <c r="L1227"/>
      <c r="M1227"/>
    </row>
    <row r="1228" spans="1:13" s="45" customFormat="1" hidden="1" x14ac:dyDescent="0.2">
      <c r="A1228" s="81" t="s">
        <v>152</v>
      </c>
      <c r="B1228" s="31" t="s">
        <v>619</v>
      </c>
      <c r="C1228" s="31" t="s">
        <v>485</v>
      </c>
      <c r="D1228" s="32" t="s">
        <v>672</v>
      </c>
      <c r="E1228" s="31" t="s">
        <v>151</v>
      </c>
      <c r="F1228" s="83">
        <f>F1229</f>
        <v>0</v>
      </c>
      <c r="G1228" s="83">
        <f>G1229</f>
        <v>0</v>
      </c>
      <c r="H1228" s="258" t="e">
        <f t="shared" si="153"/>
        <v>#DIV/0!</v>
      </c>
      <c r="I1228" s="228"/>
      <c r="J1228" s="228"/>
      <c r="K1228" s="228"/>
      <c r="L1228"/>
      <c r="M1228"/>
    </row>
    <row r="1229" spans="1:13" s="45" customFormat="1" hidden="1" x14ac:dyDescent="0.2">
      <c r="A1229" s="81" t="s">
        <v>29</v>
      </c>
      <c r="B1229" s="31" t="s">
        <v>619</v>
      </c>
      <c r="C1229" s="31" t="s">
        <v>485</v>
      </c>
      <c r="D1229" s="32" t="s">
        <v>672</v>
      </c>
      <c r="E1229" s="31" t="s">
        <v>153</v>
      </c>
      <c r="F1229" s="83"/>
      <c r="G1229" s="83"/>
      <c r="H1229" s="258" t="e">
        <f t="shared" si="153"/>
        <v>#DIV/0!</v>
      </c>
      <c r="I1229" s="228"/>
      <c r="J1229" s="228"/>
      <c r="K1229" s="228"/>
      <c r="L1229"/>
      <c r="M1229"/>
    </row>
    <row r="1230" spans="1:13" s="45" customFormat="1" x14ac:dyDescent="0.2">
      <c r="A1230" s="81" t="s">
        <v>578</v>
      </c>
      <c r="B1230" s="31" t="s">
        <v>619</v>
      </c>
      <c r="C1230" s="31" t="s">
        <v>485</v>
      </c>
      <c r="D1230" s="32" t="s">
        <v>472</v>
      </c>
      <c r="E1230" s="31"/>
      <c r="F1230" s="83">
        <f t="shared" ref="F1230:G1233" si="154">F1231</f>
        <v>1322.7</v>
      </c>
      <c r="G1230" s="83">
        <f t="shared" si="154"/>
        <v>1322.7</v>
      </c>
      <c r="H1230" s="258">
        <f t="shared" si="153"/>
        <v>1</v>
      </c>
      <c r="I1230" s="228"/>
      <c r="J1230" s="228"/>
      <c r="K1230" s="228"/>
      <c r="L1230"/>
      <c r="M1230"/>
    </row>
    <row r="1231" spans="1:13" s="45" customFormat="1" x14ac:dyDescent="0.2">
      <c r="A1231" s="81" t="s">
        <v>742</v>
      </c>
      <c r="B1231" s="31" t="s">
        <v>619</v>
      </c>
      <c r="C1231" s="31" t="s">
        <v>485</v>
      </c>
      <c r="D1231" s="32" t="s">
        <v>706</v>
      </c>
      <c r="E1231" s="31"/>
      <c r="F1231" s="83">
        <f t="shared" si="154"/>
        <v>1322.7</v>
      </c>
      <c r="G1231" s="83">
        <f t="shared" si="154"/>
        <v>1322.7</v>
      </c>
      <c r="H1231" s="258">
        <f t="shared" si="153"/>
        <v>1</v>
      </c>
      <c r="I1231" s="228"/>
      <c r="J1231" s="228"/>
      <c r="K1231" s="228"/>
      <c r="L1231"/>
      <c r="M1231"/>
    </row>
    <row r="1232" spans="1:13" s="45" customFormat="1" ht="47.25" x14ac:dyDescent="0.2">
      <c r="A1232" s="81" t="s">
        <v>743</v>
      </c>
      <c r="B1232" s="31" t="s">
        <v>619</v>
      </c>
      <c r="C1232" s="31" t="s">
        <v>485</v>
      </c>
      <c r="D1232" s="32" t="s">
        <v>744</v>
      </c>
      <c r="E1232" s="31"/>
      <c r="F1232" s="83">
        <f t="shared" si="154"/>
        <v>1322.7</v>
      </c>
      <c r="G1232" s="83">
        <f t="shared" si="154"/>
        <v>1322.7</v>
      </c>
      <c r="H1232" s="258">
        <f t="shared" si="153"/>
        <v>1</v>
      </c>
      <c r="I1232" s="228"/>
      <c r="J1232" s="228"/>
      <c r="K1232" s="228"/>
      <c r="L1232"/>
      <c r="M1232"/>
    </row>
    <row r="1233" spans="1:13" s="45" customFormat="1" ht="31.5" x14ac:dyDescent="0.2">
      <c r="A1233" s="81" t="s">
        <v>25</v>
      </c>
      <c r="B1233" s="31" t="s">
        <v>619</v>
      </c>
      <c r="C1233" s="31" t="s">
        <v>485</v>
      </c>
      <c r="D1233" s="32" t="s">
        <v>744</v>
      </c>
      <c r="E1233" s="32">
        <v>200</v>
      </c>
      <c r="F1233" s="83">
        <f t="shared" si="154"/>
        <v>1322.7</v>
      </c>
      <c r="G1233" s="83">
        <f t="shared" si="154"/>
        <v>1322.7</v>
      </c>
      <c r="H1233" s="258">
        <f t="shared" si="153"/>
        <v>1</v>
      </c>
      <c r="I1233" s="228"/>
      <c r="J1233" s="228"/>
      <c r="K1233" s="228"/>
      <c r="L1233"/>
      <c r="M1233"/>
    </row>
    <row r="1234" spans="1:13" s="45" customFormat="1" ht="31.5" x14ac:dyDescent="0.2">
      <c r="A1234" s="81" t="s">
        <v>26</v>
      </c>
      <c r="B1234" s="31" t="s">
        <v>619</v>
      </c>
      <c r="C1234" s="31" t="s">
        <v>485</v>
      </c>
      <c r="D1234" s="32" t="s">
        <v>744</v>
      </c>
      <c r="E1234" s="32">
        <v>240</v>
      </c>
      <c r="F1234" s="83">
        <f>39.7+1283</f>
        <v>1322.7</v>
      </c>
      <c r="G1234" s="83">
        <f>39.7+1283</f>
        <v>1322.7</v>
      </c>
      <c r="H1234" s="258">
        <f t="shared" si="153"/>
        <v>1</v>
      </c>
      <c r="I1234" s="228"/>
      <c r="J1234" s="228"/>
      <c r="K1234" s="228"/>
      <c r="L1234"/>
      <c r="M1234"/>
    </row>
    <row r="1235" spans="1:13" s="28" customFormat="1" x14ac:dyDescent="0.2">
      <c r="A1235" s="222" t="s">
        <v>484</v>
      </c>
      <c r="B1235" s="15" t="s">
        <v>619</v>
      </c>
      <c r="C1235" s="15" t="s">
        <v>485</v>
      </c>
      <c r="D1235" s="24" t="s">
        <v>486</v>
      </c>
      <c r="E1235" s="15"/>
      <c r="F1235" s="80">
        <f>F1236</f>
        <v>26667</v>
      </c>
      <c r="G1235" s="80">
        <f>G1236</f>
        <v>14248.1</v>
      </c>
      <c r="H1235" s="258">
        <f t="shared" si="153"/>
        <v>0.53429707128660897</v>
      </c>
      <c r="I1235" s="228"/>
      <c r="J1235" s="228"/>
      <c r="K1235" s="228"/>
      <c r="L1235"/>
      <c r="M1235"/>
    </row>
    <row r="1236" spans="1:13" s="28" customFormat="1" ht="31.5" x14ac:dyDescent="0.2">
      <c r="A1236" s="36" t="s">
        <v>138</v>
      </c>
      <c r="B1236" s="31" t="s">
        <v>619</v>
      </c>
      <c r="C1236" s="31" t="s">
        <v>485</v>
      </c>
      <c r="D1236" s="32" t="s">
        <v>487</v>
      </c>
      <c r="E1236" s="32"/>
      <c r="F1236" s="83">
        <f>F1237+F1239+F1241+F1243+F1245</f>
        <v>26667</v>
      </c>
      <c r="G1236" s="83">
        <f>G1237+G1239+G1241+G1243+G1245</f>
        <v>14248.1</v>
      </c>
      <c r="H1236" s="258">
        <f t="shared" si="153"/>
        <v>0.53429707128660897</v>
      </c>
      <c r="I1236" s="228"/>
      <c r="J1236" s="228"/>
      <c r="K1236" s="228"/>
      <c r="L1236"/>
      <c r="M1236"/>
    </row>
    <row r="1237" spans="1:13" s="28" customFormat="1" ht="64.900000000000006" customHeight="1" x14ac:dyDescent="0.2">
      <c r="A1237" s="81" t="s">
        <v>23</v>
      </c>
      <c r="B1237" s="31" t="s">
        <v>619</v>
      </c>
      <c r="C1237" s="31" t="s">
        <v>485</v>
      </c>
      <c r="D1237" s="32" t="s">
        <v>487</v>
      </c>
      <c r="E1237" s="32">
        <v>100</v>
      </c>
      <c r="F1237" s="83">
        <f>F1238</f>
        <v>19299.7</v>
      </c>
      <c r="G1237" s="83">
        <f>G1238</f>
        <v>11627.4</v>
      </c>
      <c r="H1237" s="258">
        <f t="shared" si="153"/>
        <v>0.60246532329518077</v>
      </c>
      <c r="I1237" s="228"/>
      <c r="J1237" s="228"/>
      <c r="K1237" s="228"/>
      <c r="L1237"/>
      <c r="M1237"/>
    </row>
    <row r="1238" spans="1:13" s="28" customFormat="1" x14ac:dyDescent="0.2">
      <c r="A1238" s="81" t="s">
        <v>142</v>
      </c>
      <c r="B1238" s="31" t="s">
        <v>619</v>
      </c>
      <c r="C1238" s="31" t="s">
        <v>485</v>
      </c>
      <c r="D1238" s="32" t="s">
        <v>487</v>
      </c>
      <c r="E1238" s="32">
        <v>110</v>
      </c>
      <c r="F1238" s="83">
        <v>19299.7</v>
      </c>
      <c r="G1238" s="83">
        <f>9013.1+7.8+18.9+2587.6</f>
        <v>11627.4</v>
      </c>
      <c r="H1238" s="258">
        <f t="shared" si="153"/>
        <v>0.60246532329518077</v>
      </c>
      <c r="I1238" s="228"/>
      <c r="J1238" s="228"/>
      <c r="K1238" s="228"/>
      <c r="L1238"/>
      <c r="M1238"/>
    </row>
    <row r="1239" spans="1:13" s="28" customFormat="1" ht="31.5" x14ac:dyDescent="0.2">
      <c r="A1239" s="81" t="s">
        <v>25</v>
      </c>
      <c r="B1239" s="31" t="s">
        <v>619</v>
      </c>
      <c r="C1239" s="31" t="s">
        <v>485</v>
      </c>
      <c r="D1239" s="32" t="s">
        <v>487</v>
      </c>
      <c r="E1239" s="32">
        <v>200</v>
      </c>
      <c r="F1239" s="83">
        <f>F1240</f>
        <v>6937</v>
      </c>
      <c r="G1239" s="83">
        <f>G1240</f>
        <v>2303.3000000000002</v>
      </c>
      <c r="H1239" s="258">
        <f t="shared" ref="H1239:H1302" si="155">G1239/F1239</f>
        <v>0.33203113737927059</v>
      </c>
      <c r="I1239" s="228"/>
      <c r="J1239" s="228"/>
      <c r="K1239" s="228"/>
      <c r="L1239"/>
      <c r="M1239"/>
    </row>
    <row r="1240" spans="1:13" s="28" customFormat="1" ht="31.5" x14ac:dyDescent="0.2">
      <c r="A1240" s="81" t="s">
        <v>26</v>
      </c>
      <c r="B1240" s="31" t="s">
        <v>619</v>
      </c>
      <c r="C1240" s="31" t="s">
        <v>485</v>
      </c>
      <c r="D1240" s="32" t="s">
        <v>487</v>
      </c>
      <c r="E1240" s="32">
        <v>240</v>
      </c>
      <c r="F1240" s="83">
        <f>6919.6+17.5-0.1</f>
        <v>6937</v>
      </c>
      <c r="G1240" s="83">
        <f>413.9+1889.4</f>
        <v>2303.3000000000002</v>
      </c>
      <c r="H1240" s="258">
        <f t="shared" si="155"/>
        <v>0.33203113737927059</v>
      </c>
      <c r="I1240" s="228"/>
      <c r="J1240" s="228"/>
      <c r="K1240" s="228"/>
      <c r="L1240"/>
      <c r="M1240"/>
    </row>
    <row r="1241" spans="1:13" s="28" customFormat="1" hidden="1" x14ac:dyDescent="0.2">
      <c r="A1241" s="81" t="s">
        <v>27</v>
      </c>
      <c r="B1241" s="31" t="s">
        <v>619</v>
      </c>
      <c r="C1241" s="31" t="s">
        <v>485</v>
      </c>
      <c r="D1241" s="32" t="s">
        <v>487</v>
      </c>
      <c r="E1241" s="32">
        <v>300</v>
      </c>
      <c r="F1241" s="83">
        <f>F1242</f>
        <v>0</v>
      </c>
      <c r="G1241" s="83">
        <f>G1242</f>
        <v>0</v>
      </c>
      <c r="H1241" s="258" t="e">
        <f t="shared" si="155"/>
        <v>#DIV/0!</v>
      </c>
      <c r="I1241" s="228"/>
      <c r="J1241" s="228"/>
      <c r="K1241" s="228"/>
      <c r="L1241"/>
      <c r="M1241"/>
    </row>
    <row r="1242" spans="1:13" s="28" customFormat="1" hidden="1" x14ac:dyDescent="0.2">
      <c r="A1242" s="81" t="s">
        <v>156</v>
      </c>
      <c r="B1242" s="31" t="s">
        <v>619</v>
      </c>
      <c r="C1242" s="31" t="s">
        <v>485</v>
      </c>
      <c r="D1242" s="32" t="s">
        <v>487</v>
      </c>
      <c r="E1242" s="32">
        <v>360</v>
      </c>
      <c r="F1242" s="83"/>
      <c r="G1242" s="83"/>
      <c r="H1242" s="258" t="e">
        <f t="shared" si="155"/>
        <v>#DIV/0!</v>
      </c>
      <c r="I1242" s="228"/>
      <c r="J1242" s="228"/>
      <c r="K1242" s="228"/>
      <c r="L1242"/>
      <c r="M1242"/>
    </row>
    <row r="1243" spans="1:13" s="28" customFormat="1" ht="31.5" hidden="1" x14ac:dyDescent="0.2">
      <c r="A1243" s="89" t="s">
        <v>150</v>
      </c>
      <c r="B1243" s="31" t="s">
        <v>619</v>
      </c>
      <c r="C1243" s="31" t="s">
        <v>485</v>
      </c>
      <c r="D1243" s="32" t="s">
        <v>487</v>
      </c>
      <c r="E1243" s="32">
        <v>600</v>
      </c>
      <c r="F1243" s="83">
        <f>F1244</f>
        <v>0</v>
      </c>
      <c r="G1243" s="83">
        <f>G1244</f>
        <v>0</v>
      </c>
      <c r="H1243" s="258" t="e">
        <f t="shared" si="155"/>
        <v>#DIV/0!</v>
      </c>
      <c r="I1243" s="228"/>
      <c r="J1243" s="228"/>
      <c r="K1243" s="228"/>
      <c r="L1243"/>
      <c r="M1243"/>
    </row>
    <row r="1244" spans="1:13" s="28" customFormat="1" hidden="1" x14ac:dyDescent="0.2">
      <c r="A1244" s="89" t="s">
        <v>152</v>
      </c>
      <c r="B1244" s="31" t="s">
        <v>619</v>
      </c>
      <c r="C1244" s="31" t="s">
        <v>485</v>
      </c>
      <c r="D1244" s="32" t="s">
        <v>487</v>
      </c>
      <c r="E1244" s="32">
        <v>610</v>
      </c>
      <c r="F1244" s="83"/>
      <c r="G1244" s="83"/>
      <c r="H1244" s="258" t="e">
        <f t="shared" si="155"/>
        <v>#DIV/0!</v>
      </c>
      <c r="I1244" s="228"/>
      <c r="J1244" s="228"/>
      <c r="K1244" s="228"/>
      <c r="L1244"/>
      <c r="M1244"/>
    </row>
    <row r="1245" spans="1:13" s="28" customFormat="1" x14ac:dyDescent="0.2">
      <c r="A1245" s="81" t="s">
        <v>29</v>
      </c>
      <c r="B1245" s="31" t="s">
        <v>619</v>
      </c>
      <c r="C1245" s="31" t="s">
        <v>485</v>
      </c>
      <c r="D1245" s="32" t="s">
        <v>487</v>
      </c>
      <c r="E1245" s="31" t="s">
        <v>130</v>
      </c>
      <c r="F1245" s="83">
        <f>F1246+F1247+F1248</f>
        <v>430.3</v>
      </c>
      <c r="G1245" s="83">
        <f>G1246+G1247+G1248</f>
        <v>317.39999999999998</v>
      </c>
      <c r="H1245" s="258">
        <f t="shared" si="155"/>
        <v>0.73762491285149889</v>
      </c>
      <c r="I1245" s="228"/>
      <c r="J1245" s="228"/>
      <c r="K1245" s="228"/>
      <c r="L1245"/>
      <c r="M1245"/>
    </row>
    <row r="1246" spans="1:13" s="28" customFormat="1" hidden="1" x14ac:dyDescent="0.2">
      <c r="A1246" s="81" t="s">
        <v>30</v>
      </c>
      <c r="B1246" s="31" t="s">
        <v>619</v>
      </c>
      <c r="C1246" s="31" t="s">
        <v>485</v>
      </c>
      <c r="D1246" s="32" t="s">
        <v>487</v>
      </c>
      <c r="E1246" s="31" t="s">
        <v>167</v>
      </c>
      <c r="F1246" s="83"/>
      <c r="G1246" s="83"/>
      <c r="H1246" s="258" t="e">
        <f t="shared" si="155"/>
        <v>#DIV/0!</v>
      </c>
      <c r="I1246" s="228"/>
      <c r="J1246" s="228"/>
      <c r="K1246" s="228"/>
      <c r="L1246"/>
      <c r="M1246"/>
    </row>
    <row r="1247" spans="1:13" s="28" customFormat="1" x14ac:dyDescent="0.2">
      <c r="A1247" s="81" t="s">
        <v>31</v>
      </c>
      <c r="B1247" s="31" t="s">
        <v>619</v>
      </c>
      <c r="C1247" s="31" t="s">
        <v>485</v>
      </c>
      <c r="D1247" s="32" t="s">
        <v>487</v>
      </c>
      <c r="E1247" s="31" t="s">
        <v>168</v>
      </c>
      <c r="F1247" s="83">
        <v>430.3</v>
      </c>
      <c r="G1247" s="83">
        <f>305.1+11.9+0.4</f>
        <v>317.39999999999998</v>
      </c>
      <c r="H1247" s="258">
        <f t="shared" si="155"/>
        <v>0.73762491285149889</v>
      </c>
      <c r="I1247" s="228"/>
      <c r="J1247" s="228"/>
      <c r="K1247" s="228"/>
      <c r="L1247"/>
      <c r="M1247"/>
    </row>
    <row r="1248" spans="1:13" s="28" customFormat="1" ht="15.75" hidden="1" customHeight="1" x14ac:dyDescent="0.2">
      <c r="A1248" s="81" t="s">
        <v>50</v>
      </c>
      <c r="B1248" s="31" t="s">
        <v>619</v>
      </c>
      <c r="C1248" s="31" t="s">
        <v>485</v>
      </c>
      <c r="D1248" s="32" t="s">
        <v>487</v>
      </c>
      <c r="E1248" s="31" t="s">
        <v>277</v>
      </c>
      <c r="F1248" s="83">
        <f>10792.4-10792.4</f>
        <v>0</v>
      </c>
      <c r="G1248" s="83">
        <f>10792.4-10792.4</f>
        <v>0</v>
      </c>
      <c r="H1248" s="258" t="e">
        <f t="shared" si="155"/>
        <v>#DIV/0!</v>
      </c>
      <c r="I1248" s="228"/>
      <c r="J1248" s="228"/>
      <c r="K1248" s="228"/>
      <c r="L1248"/>
      <c r="M1248"/>
    </row>
    <row r="1249" spans="1:13" s="28" customFormat="1" ht="15.75" hidden="1" customHeight="1" x14ac:dyDescent="0.2">
      <c r="A1249" s="81" t="s">
        <v>29</v>
      </c>
      <c r="B1249" s="31" t="s">
        <v>619</v>
      </c>
      <c r="C1249" s="31" t="s">
        <v>485</v>
      </c>
      <c r="D1249" s="32" t="s">
        <v>745</v>
      </c>
      <c r="E1249" s="31" t="s">
        <v>130</v>
      </c>
      <c r="F1249" s="83">
        <f>F1250</f>
        <v>0</v>
      </c>
      <c r="G1249" s="83">
        <f>G1250</f>
        <v>0</v>
      </c>
      <c r="H1249" s="258" t="e">
        <f t="shared" si="155"/>
        <v>#DIV/0!</v>
      </c>
      <c r="I1249" s="228"/>
      <c r="J1249" s="228"/>
      <c r="K1249" s="228"/>
      <c r="L1249"/>
      <c r="M1249"/>
    </row>
    <row r="1250" spans="1:13" s="28" customFormat="1" hidden="1" x14ac:dyDescent="0.2">
      <c r="A1250" s="81" t="s">
        <v>50</v>
      </c>
      <c r="B1250" s="31" t="s">
        <v>619</v>
      </c>
      <c r="C1250" s="31" t="s">
        <v>485</v>
      </c>
      <c r="D1250" s="32" t="s">
        <v>745</v>
      </c>
      <c r="E1250" s="31" t="s">
        <v>277</v>
      </c>
      <c r="F1250" s="83">
        <f>3.8-3.8</f>
        <v>0</v>
      </c>
      <c r="G1250" s="83">
        <f>3.8-3.8</f>
        <v>0</v>
      </c>
      <c r="H1250" s="258" t="e">
        <f t="shared" si="155"/>
        <v>#DIV/0!</v>
      </c>
      <c r="I1250" s="228"/>
      <c r="J1250" s="228"/>
      <c r="K1250" s="228"/>
      <c r="L1250"/>
      <c r="M1250"/>
    </row>
    <row r="1251" spans="1:13" s="28" customFormat="1" x14ac:dyDescent="0.2">
      <c r="A1251" s="79" t="s">
        <v>197</v>
      </c>
      <c r="B1251" s="15" t="s">
        <v>619</v>
      </c>
      <c r="C1251" s="15" t="s">
        <v>485</v>
      </c>
      <c r="D1251" s="24" t="s">
        <v>198</v>
      </c>
      <c r="E1251" s="15"/>
      <c r="F1251" s="80">
        <f>F1252+F1261+F1264+F1274+F1277</f>
        <v>619.5</v>
      </c>
      <c r="G1251" s="80">
        <f>G1252+G1261+G1264+G1274+G1277</f>
        <v>247.4</v>
      </c>
      <c r="H1251" s="258">
        <f t="shared" si="155"/>
        <v>0.39935431799838578</v>
      </c>
      <c r="I1251" s="228"/>
      <c r="J1251" s="228"/>
      <c r="K1251" s="228"/>
      <c r="L1251"/>
      <c r="M1251"/>
    </row>
    <row r="1252" spans="1:13" s="5" customFormat="1" ht="33.75" customHeight="1" x14ac:dyDescent="0.2">
      <c r="A1252" s="224" t="s">
        <v>478</v>
      </c>
      <c r="B1252" s="40" t="s">
        <v>619</v>
      </c>
      <c r="C1252" s="31" t="s">
        <v>485</v>
      </c>
      <c r="D1252" s="106" t="s">
        <v>481</v>
      </c>
      <c r="E1252" s="40"/>
      <c r="F1252" s="87">
        <f>F1253+F1255+F1257+F1259</f>
        <v>486.9</v>
      </c>
      <c r="G1252" s="87">
        <f>G1253+G1255+G1257+G1259</f>
        <v>135.5</v>
      </c>
      <c r="H1252" s="258">
        <f t="shared" si="155"/>
        <v>0.27829123023208052</v>
      </c>
      <c r="I1252" s="228"/>
      <c r="J1252" s="228"/>
      <c r="K1252" s="228"/>
      <c r="L1252"/>
      <c r="M1252"/>
    </row>
    <row r="1253" spans="1:13" s="5" customFormat="1" ht="33.75" customHeight="1" x14ac:dyDescent="0.2">
      <c r="A1253" s="81" t="s">
        <v>23</v>
      </c>
      <c r="B1253" s="31" t="s">
        <v>619</v>
      </c>
      <c r="C1253" s="31" t="s">
        <v>485</v>
      </c>
      <c r="D1253" s="32" t="s">
        <v>481</v>
      </c>
      <c r="E1253" s="31" t="s">
        <v>43</v>
      </c>
      <c r="F1253" s="83">
        <f>F1254</f>
        <v>123</v>
      </c>
      <c r="G1253" s="83">
        <f>G1254</f>
        <v>15.8</v>
      </c>
      <c r="H1253" s="258">
        <f t="shared" si="155"/>
        <v>0.12845528455284552</v>
      </c>
      <c r="I1253" s="228"/>
      <c r="J1253" s="228"/>
      <c r="K1253" s="228"/>
      <c r="L1253"/>
      <c r="M1253"/>
    </row>
    <row r="1254" spans="1:13" s="5" customFormat="1" ht="21" customHeight="1" x14ac:dyDescent="0.2">
      <c r="A1254" s="81" t="s">
        <v>142</v>
      </c>
      <c r="B1254" s="31" t="s">
        <v>619</v>
      </c>
      <c r="C1254" s="31" t="s">
        <v>485</v>
      </c>
      <c r="D1254" s="32" t="s">
        <v>481</v>
      </c>
      <c r="E1254" s="31" t="s">
        <v>143</v>
      </c>
      <c r="F1254" s="82">
        <f>13-13+123</f>
        <v>123</v>
      </c>
      <c r="G1254" s="82">
        <f>3.2+12.6</f>
        <v>15.8</v>
      </c>
      <c r="H1254" s="258">
        <f t="shared" si="155"/>
        <v>0.12845528455284552</v>
      </c>
      <c r="I1254" s="228"/>
      <c r="J1254" s="228"/>
      <c r="K1254" s="228"/>
      <c r="L1254"/>
      <c r="M1254"/>
    </row>
    <row r="1255" spans="1:13" s="5" customFormat="1" ht="31.5" x14ac:dyDescent="0.2">
      <c r="A1255" s="81" t="s">
        <v>25</v>
      </c>
      <c r="B1255" s="31" t="s">
        <v>619</v>
      </c>
      <c r="C1255" s="31" t="s">
        <v>485</v>
      </c>
      <c r="D1255" s="32" t="s">
        <v>481</v>
      </c>
      <c r="E1255" s="31" t="s">
        <v>36</v>
      </c>
      <c r="F1255" s="82">
        <f>F1256</f>
        <v>363.9</v>
      </c>
      <c r="G1255" s="82">
        <f>G1256</f>
        <v>119.7</v>
      </c>
      <c r="H1255" s="258">
        <f t="shared" si="155"/>
        <v>0.3289365210222589</v>
      </c>
      <c r="I1255" s="228"/>
      <c r="J1255" s="228"/>
      <c r="K1255" s="228"/>
      <c r="L1255"/>
      <c r="M1255"/>
    </row>
    <row r="1256" spans="1:13" s="5" customFormat="1" ht="31.5" x14ac:dyDescent="0.2">
      <c r="A1256" s="81" t="s">
        <v>26</v>
      </c>
      <c r="B1256" s="31" t="s">
        <v>619</v>
      </c>
      <c r="C1256" s="31" t="s">
        <v>485</v>
      </c>
      <c r="D1256" s="32" t="s">
        <v>481</v>
      </c>
      <c r="E1256" s="31" t="s">
        <v>37</v>
      </c>
      <c r="F1256" s="82">
        <f>473.9+13-123</f>
        <v>363.9</v>
      </c>
      <c r="G1256" s="82">
        <v>119.7</v>
      </c>
      <c r="H1256" s="258">
        <f t="shared" si="155"/>
        <v>0.3289365210222589</v>
      </c>
      <c r="I1256" s="228"/>
      <c r="J1256" s="228"/>
      <c r="K1256" s="228"/>
      <c r="L1256"/>
      <c r="M1256"/>
    </row>
    <row r="1257" spans="1:13" s="5" customFormat="1" hidden="1" x14ac:dyDescent="0.2">
      <c r="A1257" s="81" t="s">
        <v>27</v>
      </c>
      <c r="B1257" s="31" t="s">
        <v>619</v>
      </c>
      <c r="C1257" s="31" t="s">
        <v>485</v>
      </c>
      <c r="D1257" s="32" t="s">
        <v>481</v>
      </c>
      <c r="E1257" s="31" t="s">
        <v>155</v>
      </c>
      <c r="F1257" s="83">
        <f>F1258</f>
        <v>0</v>
      </c>
      <c r="G1257" s="83">
        <f>G1258</f>
        <v>0</v>
      </c>
      <c r="H1257" s="258" t="e">
        <f t="shared" si="155"/>
        <v>#DIV/0!</v>
      </c>
      <c r="I1257" s="228"/>
      <c r="J1257" s="228"/>
      <c r="K1257" s="228"/>
      <c r="L1257"/>
      <c r="M1257"/>
    </row>
    <row r="1258" spans="1:13" s="5" customFormat="1" hidden="1" x14ac:dyDescent="0.2">
      <c r="A1258" s="81" t="s">
        <v>156</v>
      </c>
      <c r="B1258" s="31" t="s">
        <v>619</v>
      </c>
      <c r="C1258" s="31" t="s">
        <v>485</v>
      </c>
      <c r="D1258" s="32" t="s">
        <v>481</v>
      </c>
      <c r="E1258" s="31" t="s">
        <v>157</v>
      </c>
      <c r="F1258" s="83"/>
      <c r="G1258" s="83"/>
      <c r="H1258" s="258" t="e">
        <f t="shared" si="155"/>
        <v>#DIV/0!</v>
      </c>
      <c r="I1258" s="228"/>
      <c r="J1258" s="228"/>
      <c r="K1258" s="228"/>
      <c r="L1258"/>
      <c r="M1258"/>
    </row>
    <row r="1259" spans="1:13" s="98" customFormat="1" ht="15.6" hidden="1" customHeight="1" x14ac:dyDescent="0.2">
      <c r="A1259" s="81" t="s">
        <v>29</v>
      </c>
      <c r="B1259" s="31" t="s">
        <v>619</v>
      </c>
      <c r="C1259" s="31" t="s">
        <v>485</v>
      </c>
      <c r="D1259" s="32" t="s">
        <v>481</v>
      </c>
      <c r="E1259" s="31" t="s">
        <v>130</v>
      </c>
      <c r="F1259" s="83">
        <f>F1260</f>
        <v>0</v>
      </c>
      <c r="G1259" s="83">
        <f>G1260</f>
        <v>0</v>
      </c>
      <c r="H1259" s="258" t="e">
        <f t="shared" si="155"/>
        <v>#DIV/0!</v>
      </c>
      <c r="I1259" s="228"/>
      <c r="J1259" s="228"/>
      <c r="K1259" s="228"/>
      <c r="L1259"/>
      <c r="M1259"/>
    </row>
    <row r="1260" spans="1:13" s="98" customFormat="1" ht="15.6" hidden="1" customHeight="1" x14ac:dyDescent="0.2">
      <c r="A1260" s="81" t="s">
        <v>50</v>
      </c>
      <c r="B1260" s="31" t="s">
        <v>619</v>
      </c>
      <c r="C1260" s="31" t="s">
        <v>485</v>
      </c>
      <c r="D1260" s="32" t="s">
        <v>481</v>
      </c>
      <c r="E1260" s="31" t="s">
        <v>277</v>
      </c>
      <c r="F1260" s="83">
        <f>692-80-612</f>
        <v>0</v>
      </c>
      <c r="G1260" s="83">
        <f>692-80-612</f>
        <v>0</v>
      </c>
      <c r="H1260" s="258" t="e">
        <f t="shared" si="155"/>
        <v>#DIV/0!</v>
      </c>
      <c r="I1260" s="228"/>
      <c r="J1260" s="228"/>
      <c r="K1260" s="228"/>
      <c r="L1260"/>
      <c r="M1260"/>
    </row>
    <row r="1261" spans="1:13" s="4" customFormat="1" ht="47.25" x14ac:dyDescent="0.2">
      <c r="A1261" s="224" t="s">
        <v>746</v>
      </c>
      <c r="B1261" s="40" t="s">
        <v>619</v>
      </c>
      <c r="C1261" s="31" t="s">
        <v>485</v>
      </c>
      <c r="D1261" s="106" t="s">
        <v>203</v>
      </c>
      <c r="E1261" s="40"/>
      <c r="F1261" s="87">
        <f>F1262+F1267+F1269+F1271</f>
        <v>10</v>
      </c>
      <c r="G1261" s="87">
        <f>G1262+G1267+G1269+G1271</f>
        <v>0</v>
      </c>
      <c r="H1261" s="258">
        <f t="shared" si="155"/>
        <v>0</v>
      </c>
      <c r="I1261" s="228"/>
      <c r="J1261" s="228"/>
      <c r="K1261" s="228"/>
      <c r="L1261"/>
      <c r="M1261"/>
    </row>
    <row r="1262" spans="1:13" s="4" customFormat="1" ht="33.75" customHeight="1" x14ac:dyDescent="0.2">
      <c r="A1262" s="81" t="s">
        <v>25</v>
      </c>
      <c r="B1262" s="31" t="s">
        <v>619</v>
      </c>
      <c r="C1262" s="31" t="s">
        <v>485</v>
      </c>
      <c r="D1262" s="141" t="s">
        <v>203</v>
      </c>
      <c r="E1262" s="31" t="s">
        <v>36</v>
      </c>
      <c r="F1262" s="83">
        <f>F1263</f>
        <v>10</v>
      </c>
      <c r="G1262" s="83">
        <f>G1263</f>
        <v>0</v>
      </c>
      <c r="H1262" s="258">
        <f t="shared" si="155"/>
        <v>0</v>
      </c>
      <c r="I1262" s="228"/>
      <c r="J1262" s="228"/>
      <c r="K1262" s="228"/>
      <c r="L1262"/>
      <c r="M1262"/>
    </row>
    <row r="1263" spans="1:13" s="4" customFormat="1" ht="21" customHeight="1" x14ac:dyDescent="0.2">
      <c r="A1263" s="81" t="s">
        <v>26</v>
      </c>
      <c r="B1263" s="31" t="s">
        <v>619</v>
      </c>
      <c r="C1263" s="31" t="s">
        <v>485</v>
      </c>
      <c r="D1263" s="141" t="s">
        <v>203</v>
      </c>
      <c r="E1263" s="31" t="s">
        <v>37</v>
      </c>
      <c r="F1263" s="82">
        <v>10</v>
      </c>
      <c r="G1263" s="82">
        <v>0</v>
      </c>
      <c r="H1263" s="258">
        <f t="shared" si="155"/>
        <v>0</v>
      </c>
      <c r="I1263" s="228"/>
      <c r="J1263" s="228"/>
      <c r="K1263" s="228"/>
      <c r="L1263"/>
      <c r="M1263"/>
    </row>
    <row r="1264" spans="1:13" s="153" customFormat="1" ht="31.5" x14ac:dyDescent="0.2">
      <c r="A1264" s="115" t="s">
        <v>747</v>
      </c>
      <c r="B1264" s="108" t="s">
        <v>619</v>
      </c>
      <c r="C1264" s="108" t="s">
        <v>485</v>
      </c>
      <c r="D1264" s="108" t="s">
        <v>205</v>
      </c>
      <c r="E1264" s="109"/>
      <c r="F1264" s="186">
        <f>F1265</f>
        <v>10</v>
      </c>
      <c r="G1264" s="186">
        <f>G1265</f>
        <v>0</v>
      </c>
      <c r="H1264" s="258">
        <f t="shared" si="155"/>
        <v>0</v>
      </c>
      <c r="I1264" s="228"/>
      <c r="J1264" s="228"/>
      <c r="K1264" s="228"/>
      <c r="L1264"/>
      <c r="M1264"/>
    </row>
    <row r="1265" spans="1:13" s="232" customFormat="1" ht="31.5" x14ac:dyDescent="0.2">
      <c r="A1265" s="81" t="s">
        <v>25</v>
      </c>
      <c r="B1265" s="100" t="s">
        <v>619</v>
      </c>
      <c r="C1265" s="100" t="s">
        <v>485</v>
      </c>
      <c r="D1265" s="119" t="s">
        <v>205</v>
      </c>
      <c r="E1265" s="101">
        <v>200</v>
      </c>
      <c r="F1265" s="83">
        <f>F1266</f>
        <v>10</v>
      </c>
      <c r="G1265" s="83">
        <f>G1266</f>
        <v>0</v>
      </c>
      <c r="H1265" s="258">
        <f t="shared" si="155"/>
        <v>0</v>
      </c>
      <c r="I1265" s="228"/>
      <c r="J1265" s="228"/>
      <c r="K1265" s="228"/>
      <c r="L1265"/>
      <c r="M1265"/>
    </row>
    <row r="1266" spans="1:13" s="232" customFormat="1" ht="31.5" x14ac:dyDescent="0.2">
      <c r="A1266" s="81" t="s">
        <v>26</v>
      </c>
      <c r="B1266" s="100" t="s">
        <v>619</v>
      </c>
      <c r="C1266" s="100" t="s">
        <v>485</v>
      </c>
      <c r="D1266" s="119" t="s">
        <v>205</v>
      </c>
      <c r="E1266" s="101">
        <v>240</v>
      </c>
      <c r="F1266" s="83">
        <v>10</v>
      </c>
      <c r="G1266" s="83">
        <v>0</v>
      </c>
      <c r="H1266" s="258">
        <f t="shared" si="155"/>
        <v>0</v>
      </c>
      <c r="I1266" s="228"/>
      <c r="J1266" s="228"/>
      <c r="K1266" s="228"/>
      <c r="L1266"/>
      <c r="M1266"/>
    </row>
    <row r="1267" spans="1:13" s="113" customFormat="1" ht="47.25" hidden="1" x14ac:dyDescent="0.2">
      <c r="A1267" s="115" t="s">
        <v>210</v>
      </c>
      <c r="B1267" s="108" t="s">
        <v>619</v>
      </c>
      <c r="C1267" s="108" t="s">
        <v>485</v>
      </c>
      <c r="D1267" s="108" t="s">
        <v>211</v>
      </c>
      <c r="E1267" s="109"/>
      <c r="F1267" s="186">
        <f>F1268</f>
        <v>0</v>
      </c>
      <c r="G1267" s="186">
        <f>G1268</f>
        <v>0</v>
      </c>
      <c r="H1267" s="258" t="e">
        <f t="shared" si="155"/>
        <v>#DIV/0!</v>
      </c>
      <c r="I1267" s="228"/>
      <c r="J1267" s="228"/>
      <c r="K1267" s="228"/>
      <c r="L1267"/>
      <c r="M1267"/>
    </row>
    <row r="1268" spans="1:13" s="98" customFormat="1" ht="31.5" hidden="1" x14ac:dyDescent="0.2">
      <c r="A1268" s="81" t="s">
        <v>25</v>
      </c>
      <c r="B1268" s="100" t="s">
        <v>619</v>
      </c>
      <c r="C1268" s="100" t="s">
        <v>485</v>
      </c>
      <c r="D1268" s="100" t="s">
        <v>211</v>
      </c>
      <c r="E1268" s="101">
        <v>200</v>
      </c>
      <c r="F1268" s="83">
        <f>F1269</f>
        <v>0</v>
      </c>
      <c r="G1268" s="83">
        <f>G1269</f>
        <v>0</v>
      </c>
      <c r="H1268" s="258" t="e">
        <f t="shared" si="155"/>
        <v>#DIV/0!</v>
      </c>
      <c r="I1268" s="228"/>
      <c r="J1268" s="228"/>
      <c r="K1268" s="228"/>
      <c r="L1268"/>
      <c r="M1268"/>
    </row>
    <row r="1269" spans="1:13" s="98" customFormat="1" ht="31.5" hidden="1" x14ac:dyDescent="0.2">
      <c r="A1269" s="81" t="s">
        <v>26</v>
      </c>
      <c r="B1269" s="100" t="s">
        <v>619</v>
      </c>
      <c r="C1269" s="100" t="s">
        <v>485</v>
      </c>
      <c r="D1269" s="100" t="s">
        <v>211</v>
      </c>
      <c r="E1269" s="101">
        <v>240</v>
      </c>
      <c r="F1269" s="83"/>
      <c r="G1269" s="83"/>
      <c r="H1269" s="258" t="e">
        <f t="shared" si="155"/>
        <v>#DIV/0!</v>
      </c>
      <c r="I1269" s="228"/>
      <c r="J1269" s="228"/>
      <c r="K1269" s="228"/>
      <c r="L1269"/>
      <c r="M1269"/>
    </row>
    <row r="1270" spans="1:13" s="45" customFormat="1" hidden="1" x14ac:dyDescent="0.2">
      <c r="A1270" s="90" t="s">
        <v>120</v>
      </c>
      <c r="B1270" s="15" t="s">
        <v>619</v>
      </c>
      <c r="C1270" s="15" t="s">
        <v>485</v>
      </c>
      <c r="D1270" s="15" t="s">
        <v>121</v>
      </c>
      <c r="E1270" s="24"/>
      <c r="F1270" s="25">
        <f t="shared" ref="F1270:G1272" si="156">F1271</f>
        <v>0</v>
      </c>
      <c r="G1270" s="25">
        <f t="shared" si="156"/>
        <v>0</v>
      </c>
      <c r="H1270" s="258" t="e">
        <f t="shared" si="155"/>
        <v>#DIV/0!</v>
      </c>
      <c r="I1270" s="228"/>
      <c r="J1270" s="228"/>
      <c r="K1270" s="228"/>
      <c r="L1270"/>
      <c r="M1270"/>
    </row>
    <row r="1271" spans="1:13" s="45" customFormat="1" ht="31.5" hidden="1" x14ac:dyDescent="0.2">
      <c r="A1271" s="43" t="s">
        <v>532</v>
      </c>
      <c r="B1271" s="31" t="s">
        <v>619</v>
      </c>
      <c r="C1271" s="31" t="s">
        <v>485</v>
      </c>
      <c r="D1271" s="31" t="s">
        <v>379</v>
      </c>
      <c r="E1271" s="32"/>
      <c r="F1271" s="29">
        <f t="shared" si="156"/>
        <v>0</v>
      </c>
      <c r="G1271" s="29">
        <f t="shared" si="156"/>
        <v>0</v>
      </c>
      <c r="H1271" s="258" t="e">
        <f t="shared" si="155"/>
        <v>#DIV/0!</v>
      </c>
      <c r="I1271" s="228"/>
      <c r="J1271" s="228"/>
      <c r="K1271" s="228"/>
      <c r="L1271"/>
      <c r="M1271"/>
    </row>
    <row r="1272" spans="1:13" s="45" customFormat="1" ht="39.75" hidden="1" customHeight="1" x14ac:dyDescent="0.2">
      <c r="A1272" s="43" t="s">
        <v>25</v>
      </c>
      <c r="B1272" s="31" t="s">
        <v>619</v>
      </c>
      <c r="C1272" s="31" t="s">
        <v>485</v>
      </c>
      <c r="D1272" s="31" t="s">
        <v>379</v>
      </c>
      <c r="E1272" s="32">
        <v>200</v>
      </c>
      <c r="F1272" s="29">
        <f t="shared" si="156"/>
        <v>0</v>
      </c>
      <c r="G1272" s="29">
        <f t="shared" si="156"/>
        <v>0</v>
      </c>
      <c r="H1272" s="258" t="e">
        <f t="shared" si="155"/>
        <v>#DIV/0!</v>
      </c>
      <c r="I1272" s="228"/>
      <c r="J1272" s="228"/>
      <c r="K1272" s="228"/>
      <c r="L1272"/>
      <c r="M1272"/>
    </row>
    <row r="1273" spans="1:13" s="45" customFormat="1" ht="31.5" hidden="1" x14ac:dyDescent="0.2">
      <c r="A1273" s="43" t="s">
        <v>26</v>
      </c>
      <c r="B1273" s="31" t="s">
        <v>619</v>
      </c>
      <c r="C1273" s="31" t="s">
        <v>485</v>
      </c>
      <c r="D1273" s="31" t="s">
        <v>379</v>
      </c>
      <c r="E1273" s="32">
        <v>240</v>
      </c>
      <c r="F1273" s="29"/>
      <c r="G1273" s="29"/>
      <c r="H1273" s="258" t="e">
        <f t="shared" si="155"/>
        <v>#DIV/0!</v>
      </c>
      <c r="I1273" s="228"/>
      <c r="J1273" s="228"/>
      <c r="K1273" s="228"/>
      <c r="L1273"/>
      <c r="M1273"/>
    </row>
    <row r="1274" spans="1:13" s="71" customFormat="1" ht="47.25" x14ac:dyDescent="0.2">
      <c r="A1274" s="171" t="s">
        <v>210</v>
      </c>
      <c r="B1274" s="68" t="s">
        <v>619</v>
      </c>
      <c r="C1274" s="100" t="s">
        <v>485</v>
      </c>
      <c r="D1274" s="68" t="s">
        <v>211</v>
      </c>
      <c r="E1274" s="128"/>
      <c r="F1274" s="129">
        <f>F1275</f>
        <v>12.6</v>
      </c>
      <c r="G1274" s="129">
        <f>G1275</f>
        <v>11.9</v>
      </c>
      <c r="H1274" s="258">
        <f t="shared" si="155"/>
        <v>0.94444444444444453</v>
      </c>
      <c r="I1274" s="228"/>
      <c r="J1274" s="228"/>
      <c r="K1274" s="228"/>
      <c r="L1274"/>
      <c r="M1274"/>
    </row>
    <row r="1275" spans="1:13" s="71" customFormat="1" ht="31.5" x14ac:dyDescent="0.2">
      <c r="A1275" s="57" t="s">
        <v>25</v>
      </c>
      <c r="B1275" s="58" t="s">
        <v>619</v>
      </c>
      <c r="C1275" s="100" t="s">
        <v>485</v>
      </c>
      <c r="D1275" s="199" t="s">
        <v>211</v>
      </c>
      <c r="E1275" s="59">
        <v>200</v>
      </c>
      <c r="F1275" s="49">
        <f>F1276</f>
        <v>12.6</v>
      </c>
      <c r="G1275" s="49">
        <f>G1276</f>
        <v>11.9</v>
      </c>
      <c r="H1275" s="258">
        <f t="shared" si="155"/>
        <v>0.94444444444444453</v>
      </c>
      <c r="I1275" s="228"/>
      <c r="J1275" s="228"/>
      <c r="K1275" s="228"/>
      <c r="L1275"/>
      <c r="M1275"/>
    </row>
    <row r="1276" spans="1:13" s="71" customFormat="1" ht="31.5" x14ac:dyDescent="0.2">
      <c r="A1276" s="57" t="s">
        <v>26</v>
      </c>
      <c r="B1276" s="58" t="s">
        <v>619</v>
      </c>
      <c r="C1276" s="100" t="s">
        <v>485</v>
      </c>
      <c r="D1276" s="199" t="s">
        <v>211</v>
      </c>
      <c r="E1276" s="59">
        <v>240</v>
      </c>
      <c r="F1276" s="49">
        <f>12.6</f>
        <v>12.6</v>
      </c>
      <c r="G1276" s="49">
        <v>11.9</v>
      </c>
      <c r="H1276" s="258">
        <f t="shared" si="155"/>
        <v>0.94444444444444453</v>
      </c>
      <c r="I1276" s="228"/>
      <c r="J1276" s="228"/>
      <c r="K1276" s="228"/>
      <c r="L1276"/>
      <c r="M1276"/>
    </row>
    <row r="1277" spans="1:13" s="229" customFormat="1" ht="63" x14ac:dyDescent="0.2">
      <c r="A1277" s="115" t="s">
        <v>214</v>
      </c>
      <c r="B1277" s="108" t="s">
        <v>619</v>
      </c>
      <c r="C1277" s="100" t="s">
        <v>485</v>
      </c>
      <c r="D1277" s="108" t="s">
        <v>215</v>
      </c>
      <c r="E1277" s="109"/>
      <c r="F1277" s="110">
        <f>F1280</f>
        <v>100</v>
      </c>
      <c r="G1277" s="110">
        <f>G1280</f>
        <v>100</v>
      </c>
      <c r="H1277" s="258">
        <f t="shared" si="155"/>
        <v>1</v>
      </c>
      <c r="I1277" s="228"/>
      <c r="J1277" s="228"/>
      <c r="K1277" s="228"/>
      <c r="L1277"/>
      <c r="M1277"/>
    </row>
    <row r="1278" spans="1:13" s="229" customFormat="1" ht="64.150000000000006" hidden="1" customHeight="1" x14ac:dyDescent="0.2">
      <c r="A1278" s="81" t="s">
        <v>23</v>
      </c>
      <c r="B1278" s="100" t="s">
        <v>619</v>
      </c>
      <c r="C1278" s="100" t="s">
        <v>485</v>
      </c>
      <c r="D1278" s="100" t="s">
        <v>446</v>
      </c>
      <c r="E1278" s="140">
        <v>100</v>
      </c>
      <c r="F1278" s="97">
        <f>F1279</f>
        <v>0</v>
      </c>
      <c r="G1278" s="97">
        <f>G1279</f>
        <v>0</v>
      </c>
      <c r="H1278" s="258" t="e">
        <f t="shared" si="155"/>
        <v>#DIV/0!</v>
      </c>
      <c r="I1278" s="228"/>
      <c r="J1278" s="228"/>
      <c r="K1278" s="228"/>
      <c r="L1278"/>
      <c r="M1278"/>
    </row>
    <row r="1279" spans="1:13" s="229" customFormat="1" hidden="1" x14ac:dyDescent="0.2">
      <c r="A1279" s="81" t="s">
        <v>142</v>
      </c>
      <c r="B1279" s="100" t="s">
        <v>619</v>
      </c>
      <c r="C1279" s="100" t="s">
        <v>485</v>
      </c>
      <c r="D1279" s="100" t="s">
        <v>446</v>
      </c>
      <c r="E1279" s="140">
        <v>110</v>
      </c>
      <c r="F1279" s="97"/>
      <c r="G1279" s="97"/>
      <c r="H1279" s="258" t="e">
        <f t="shared" si="155"/>
        <v>#DIV/0!</v>
      </c>
      <c r="I1279" s="228"/>
      <c r="J1279" s="228"/>
      <c r="K1279" s="228"/>
      <c r="L1279"/>
      <c r="M1279"/>
    </row>
    <row r="1280" spans="1:13" s="229" customFormat="1" ht="31.5" x14ac:dyDescent="0.2">
      <c r="A1280" s="81" t="s">
        <v>25</v>
      </c>
      <c r="B1280" s="100" t="s">
        <v>619</v>
      </c>
      <c r="C1280" s="100" t="s">
        <v>485</v>
      </c>
      <c r="D1280" s="119" t="s">
        <v>215</v>
      </c>
      <c r="E1280" s="100" t="s">
        <v>36</v>
      </c>
      <c r="F1280" s="97">
        <f>F1281</f>
        <v>100</v>
      </c>
      <c r="G1280" s="97">
        <f>G1281</f>
        <v>100</v>
      </c>
      <c r="H1280" s="258">
        <f t="shared" si="155"/>
        <v>1</v>
      </c>
      <c r="I1280" s="228"/>
      <c r="J1280" s="228"/>
      <c r="K1280" s="228"/>
      <c r="L1280"/>
      <c r="M1280"/>
    </row>
    <row r="1281" spans="1:13" s="230" customFormat="1" ht="31.5" x14ac:dyDescent="0.2">
      <c r="A1281" s="81" t="s">
        <v>26</v>
      </c>
      <c r="B1281" s="100" t="s">
        <v>619</v>
      </c>
      <c r="C1281" s="100" t="s">
        <v>485</v>
      </c>
      <c r="D1281" s="119" t="s">
        <v>215</v>
      </c>
      <c r="E1281" s="100" t="s">
        <v>37</v>
      </c>
      <c r="F1281" s="97">
        <f>100</f>
        <v>100</v>
      </c>
      <c r="G1281" s="97">
        <f>100</f>
        <v>100</v>
      </c>
      <c r="H1281" s="258">
        <f t="shared" si="155"/>
        <v>1</v>
      </c>
      <c r="I1281" s="228"/>
      <c r="J1281" s="228"/>
      <c r="K1281" s="228"/>
      <c r="L1281"/>
      <c r="M1281"/>
    </row>
    <row r="1282" spans="1:13" s="231" customFormat="1" x14ac:dyDescent="0.2">
      <c r="A1282" s="90" t="s">
        <v>120</v>
      </c>
      <c r="B1282" s="201" t="s">
        <v>619</v>
      </c>
      <c r="C1282" s="201" t="s">
        <v>485</v>
      </c>
      <c r="D1282" s="15" t="s">
        <v>121</v>
      </c>
      <c r="E1282" s="24"/>
      <c r="F1282" s="65">
        <f>F1283</f>
        <v>148.9</v>
      </c>
      <c r="G1282" s="65">
        <f>G1283</f>
        <v>148.9</v>
      </c>
      <c r="H1282" s="258">
        <f t="shared" si="155"/>
        <v>1</v>
      </c>
      <c r="I1282" s="228"/>
      <c r="J1282" s="228"/>
      <c r="K1282" s="228"/>
      <c r="L1282"/>
      <c r="M1282"/>
    </row>
    <row r="1283" spans="1:13" s="230" customFormat="1" ht="31.5" x14ac:dyDescent="0.2">
      <c r="A1283" s="43" t="s">
        <v>531</v>
      </c>
      <c r="B1283" s="31" t="s">
        <v>619</v>
      </c>
      <c r="C1283" s="31" t="s">
        <v>485</v>
      </c>
      <c r="D1283" s="31" t="s">
        <v>379</v>
      </c>
      <c r="E1283" s="32"/>
      <c r="F1283" s="83">
        <f>F1284+F1287</f>
        <v>148.9</v>
      </c>
      <c r="G1283" s="83">
        <f>G1284+G1287</f>
        <v>148.9</v>
      </c>
      <c r="H1283" s="258">
        <f t="shared" si="155"/>
        <v>1</v>
      </c>
      <c r="I1283" s="228"/>
      <c r="J1283" s="228"/>
      <c r="K1283" s="228"/>
      <c r="L1283"/>
      <c r="M1283"/>
    </row>
    <row r="1284" spans="1:13" s="28" customFormat="1" ht="31.5" x14ac:dyDescent="0.2">
      <c r="A1284" s="81" t="s">
        <v>25</v>
      </c>
      <c r="B1284" s="31" t="s">
        <v>619</v>
      </c>
      <c r="C1284" s="31" t="s">
        <v>485</v>
      </c>
      <c r="D1284" s="31" t="s">
        <v>379</v>
      </c>
      <c r="E1284" s="32">
        <v>200</v>
      </c>
      <c r="F1284" s="83">
        <f>F1285</f>
        <v>148.9</v>
      </c>
      <c r="G1284" s="83">
        <f>G1285</f>
        <v>148.9</v>
      </c>
      <c r="H1284" s="258">
        <f t="shared" si="155"/>
        <v>1</v>
      </c>
      <c r="I1284" s="228"/>
      <c r="J1284" s="228"/>
      <c r="K1284" s="228"/>
      <c r="L1284"/>
      <c r="M1284"/>
    </row>
    <row r="1285" spans="1:13" s="28" customFormat="1" ht="31.5" x14ac:dyDescent="0.2">
      <c r="A1285" s="81" t="s">
        <v>26</v>
      </c>
      <c r="B1285" s="31" t="s">
        <v>619</v>
      </c>
      <c r="C1285" s="31" t="s">
        <v>485</v>
      </c>
      <c r="D1285" s="31" t="s">
        <v>379</v>
      </c>
      <c r="E1285" s="32">
        <v>240</v>
      </c>
      <c r="F1285" s="83">
        <v>148.9</v>
      </c>
      <c r="G1285" s="83">
        <v>148.9</v>
      </c>
      <c r="H1285" s="258">
        <f t="shared" si="155"/>
        <v>1</v>
      </c>
      <c r="I1285" s="228"/>
      <c r="J1285" s="228"/>
      <c r="K1285" s="228"/>
      <c r="L1285"/>
      <c r="M1285"/>
    </row>
    <row r="1286" spans="1:13" s="60" customFormat="1" x14ac:dyDescent="0.2">
      <c r="A1286" s="120" t="s">
        <v>748</v>
      </c>
      <c r="B1286" s="121" t="s">
        <v>619</v>
      </c>
      <c r="C1286" s="121" t="s">
        <v>489</v>
      </c>
      <c r="D1286" s="121"/>
      <c r="E1286" s="122"/>
      <c r="F1286" s="50">
        <f>F1287+F1293+F1304</f>
        <v>550.6</v>
      </c>
      <c r="G1286" s="50">
        <f>G1287+G1293+G1304</f>
        <v>52</v>
      </c>
      <c r="H1286" s="258">
        <f t="shared" si="155"/>
        <v>9.4442426443879401E-2</v>
      </c>
      <c r="I1286" s="228"/>
      <c r="J1286" s="228"/>
      <c r="K1286" s="228"/>
      <c r="L1286"/>
      <c r="M1286"/>
    </row>
    <row r="1287" spans="1:13" s="116" customFormat="1" ht="31.5" hidden="1" x14ac:dyDescent="0.2">
      <c r="A1287" s="92" t="s">
        <v>171</v>
      </c>
      <c r="B1287" s="93" t="s">
        <v>619</v>
      </c>
      <c r="C1287" s="93" t="s">
        <v>489</v>
      </c>
      <c r="D1287" s="94" t="s">
        <v>172</v>
      </c>
      <c r="E1287" s="93"/>
      <c r="F1287" s="137">
        <f t="shared" ref="F1287:G1291" si="157">F1288</f>
        <v>0</v>
      </c>
      <c r="G1287" s="137">
        <f t="shared" si="157"/>
        <v>0</v>
      </c>
      <c r="H1287" s="258" t="e">
        <f t="shared" si="155"/>
        <v>#DIV/0!</v>
      </c>
      <c r="I1287" s="228"/>
      <c r="J1287" s="228"/>
      <c r="K1287" s="228"/>
      <c r="L1287"/>
      <c r="M1287"/>
    </row>
    <row r="1288" spans="1:13" s="116" customFormat="1" hidden="1" x14ac:dyDescent="0.2">
      <c r="A1288" s="112" t="s">
        <v>173</v>
      </c>
      <c r="B1288" s="100" t="s">
        <v>619</v>
      </c>
      <c r="C1288" s="100" t="s">
        <v>489</v>
      </c>
      <c r="D1288" s="101" t="s">
        <v>174</v>
      </c>
      <c r="E1288" s="100"/>
      <c r="F1288" s="176">
        <f t="shared" si="157"/>
        <v>0</v>
      </c>
      <c r="G1288" s="176">
        <f t="shared" si="157"/>
        <v>0</v>
      </c>
      <c r="H1288" s="258" t="e">
        <f t="shared" si="155"/>
        <v>#DIV/0!</v>
      </c>
      <c r="I1288" s="228"/>
      <c r="J1288" s="228"/>
      <c r="K1288" s="228"/>
      <c r="L1288"/>
      <c r="M1288"/>
    </row>
    <row r="1289" spans="1:13" s="116" customFormat="1" hidden="1" x14ac:dyDescent="0.2">
      <c r="A1289" s="112" t="s">
        <v>175</v>
      </c>
      <c r="B1289" s="100" t="s">
        <v>619</v>
      </c>
      <c r="C1289" s="100" t="s">
        <v>489</v>
      </c>
      <c r="D1289" s="101" t="s">
        <v>176</v>
      </c>
      <c r="E1289" s="100"/>
      <c r="F1289" s="176">
        <f t="shared" si="157"/>
        <v>0</v>
      </c>
      <c r="G1289" s="176">
        <f t="shared" si="157"/>
        <v>0</v>
      </c>
      <c r="H1289" s="258" t="e">
        <f t="shared" si="155"/>
        <v>#DIV/0!</v>
      </c>
      <c r="I1289" s="228"/>
      <c r="J1289" s="228"/>
      <c r="K1289" s="228"/>
      <c r="L1289"/>
      <c r="M1289"/>
    </row>
    <row r="1290" spans="1:13" s="116" customFormat="1" ht="31.5" hidden="1" x14ac:dyDescent="0.2">
      <c r="A1290" s="175" t="s">
        <v>749</v>
      </c>
      <c r="B1290" s="100" t="s">
        <v>619</v>
      </c>
      <c r="C1290" s="100" t="s">
        <v>489</v>
      </c>
      <c r="D1290" s="101" t="s">
        <v>750</v>
      </c>
      <c r="E1290" s="100"/>
      <c r="F1290" s="176">
        <f t="shared" si="157"/>
        <v>0</v>
      </c>
      <c r="G1290" s="176">
        <f t="shared" si="157"/>
        <v>0</v>
      </c>
      <c r="H1290" s="258" t="e">
        <f t="shared" si="155"/>
        <v>#DIV/0!</v>
      </c>
      <c r="I1290" s="228"/>
      <c r="J1290" s="228"/>
      <c r="K1290" s="228"/>
      <c r="L1290"/>
      <c r="M1290"/>
    </row>
    <row r="1291" spans="1:13" s="116" customFormat="1" hidden="1" x14ac:dyDescent="0.2">
      <c r="A1291" s="175" t="s">
        <v>27</v>
      </c>
      <c r="B1291" s="100" t="s">
        <v>619</v>
      </c>
      <c r="C1291" s="100" t="s">
        <v>489</v>
      </c>
      <c r="D1291" s="101" t="s">
        <v>750</v>
      </c>
      <c r="E1291" s="100" t="s">
        <v>155</v>
      </c>
      <c r="F1291" s="176">
        <f t="shared" si="157"/>
        <v>0</v>
      </c>
      <c r="G1291" s="176">
        <f t="shared" si="157"/>
        <v>0</v>
      </c>
      <c r="H1291" s="258" t="e">
        <f t="shared" si="155"/>
        <v>#DIV/0!</v>
      </c>
      <c r="I1291" s="228"/>
      <c r="J1291" s="228"/>
      <c r="K1291" s="228"/>
      <c r="L1291"/>
      <c r="M1291"/>
    </row>
    <row r="1292" spans="1:13" s="116" customFormat="1" hidden="1" x14ac:dyDescent="0.2">
      <c r="A1292" s="175" t="s">
        <v>156</v>
      </c>
      <c r="B1292" s="100" t="s">
        <v>619</v>
      </c>
      <c r="C1292" s="100" t="s">
        <v>489</v>
      </c>
      <c r="D1292" s="101" t="s">
        <v>750</v>
      </c>
      <c r="E1292" s="100" t="s">
        <v>157</v>
      </c>
      <c r="F1292" s="176"/>
      <c r="G1292" s="176"/>
      <c r="H1292" s="258" t="e">
        <f t="shared" si="155"/>
        <v>#DIV/0!</v>
      </c>
      <c r="I1292" s="228"/>
      <c r="J1292" s="228"/>
      <c r="K1292" s="228"/>
      <c r="L1292"/>
      <c r="M1292"/>
    </row>
    <row r="1293" spans="1:13" s="28" customFormat="1" ht="31.5" x14ac:dyDescent="0.2">
      <c r="A1293" s="14" t="s">
        <v>80</v>
      </c>
      <c r="B1293" s="15" t="s">
        <v>619</v>
      </c>
      <c r="C1293" s="15" t="s">
        <v>489</v>
      </c>
      <c r="D1293" s="24" t="s">
        <v>81</v>
      </c>
      <c r="E1293" s="24"/>
      <c r="F1293" s="80">
        <f t="shared" ref="F1293:G1295" si="158">F1294</f>
        <v>115.9</v>
      </c>
      <c r="G1293" s="80">
        <f t="shared" si="158"/>
        <v>0</v>
      </c>
      <c r="H1293" s="258">
        <f t="shared" si="155"/>
        <v>0</v>
      </c>
      <c r="I1293" s="228"/>
      <c r="J1293" s="228"/>
      <c r="K1293" s="228"/>
      <c r="L1293"/>
      <c r="M1293"/>
    </row>
    <row r="1294" spans="1:13" s="28" customFormat="1" ht="31.5" x14ac:dyDescent="0.2">
      <c r="A1294" s="36" t="s">
        <v>92</v>
      </c>
      <c r="B1294" s="31" t="s">
        <v>619</v>
      </c>
      <c r="C1294" s="31" t="s">
        <v>489</v>
      </c>
      <c r="D1294" s="32" t="s">
        <v>93</v>
      </c>
      <c r="E1294" s="32"/>
      <c r="F1294" s="83">
        <f t="shared" si="158"/>
        <v>115.9</v>
      </c>
      <c r="G1294" s="83">
        <f t="shared" si="158"/>
        <v>0</v>
      </c>
      <c r="H1294" s="258">
        <f t="shared" si="155"/>
        <v>0</v>
      </c>
      <c r="I1294" s="228"/>
      <c r="J1294" s="228"/>
      <c r="K1294" s="228"/>
      <c r="L1294"/>
      <c r="M1294"/>
    </row>
    <row r="1295" spans="1:13" s="45" customFormat="1" ht="31.5" x14ac:dyDescent="0.2">
      <c r="A1295" s="36" t="s">
        <v>751</v>
      </c>
      <c r="B1295" s="31" t="s">
        <v>619</v>
      </c>
      <c r="C1295" s="31" t="s">
        <v>489</v>
      </c>
      <c r="D1295" s="32" t="s">
        <v>752</v>
      </c>
      <c r="E1295" s="32"/>
      <c r="F1295" s="83">
        <f t="shared" si="158"/>
        <v>115.9</v>
      </c>
      <c r="G1295" s="83">
        <f t="shared" si="158"/>
        <v>0</v>
      </c>
      <c r="H1295" s="258">
        <f t="shared" si="155"/>
        <v>0</v>
      </c>
      <c r="I1295" s="228"/>
      <c r="J1295" s="228"/>
      <c r="K1295" s="228"/>
      <c r="L1295"/>
      <c r="M1295"/>
    </row>
    <row r="1296" spans="1:13" s="28" customFormat="1" ht="15.75" customHeight="1" x14ac:dyDescent="0.2">
      <c r="A1296" s="36" t="s">
        <v>753</v>
      </c>
      <c r="B1296" s="31" t="s">
        <v>619</v>
      </c>
      <c r="C1296" s="31" t="s">
        <v>489</v>
      </c>
      <c r="D1296" s="32" t="s">
        <v>754</v>
      </c>
      <c r="E1296" s="32"/>
      <c r="F1296" s="83">
        <f>F1297+F1299+F1302</f>
        <v>115.9</v>
      </c>
      <c r="G1296" s="83">
        <f>G1297+G1299+G1302</f>
        <v>0</v>
      </c>
      <c r="H1296" s="258">
        <f t="shared" si="155"/>
        <v>0</v>
      </c>
      <c r="I1296" s="228"/>
      <c r="J1296" s="228"/>
      <c r="K1296" s="228"/>
      <c r="L1296"/>
      <c r="M1296"/>
    </row>
    <row r="1297" spans="1:13" s="28" customFormat="1" ht="31.5" x14ac:dyDescent="0.2">
      <c r="A1297" s="81" t="s">
        <v>25</v>
      </c>
      <c r="B1297" s="31" t="s">
        <v>619</v>
      </c>
      <c r="C1297" s="31" t="s">
        <v>489</v>
      </c>
      <c r="D1297" s="32" t="s">
        <v>754</v>
      </c>
      <c r="E1297" s="32">
        <v>200</v>
      </c>
      <c r="F1297" s="83">
        <f>F1298</f>
        <v>115.9</v>
      </c>
      <c r="G1297" s="83">
        <f>G1298</f>
        <v>0</v>
      </c>
      <c r="H1297" s="258">
        <f t="shared" si="155"/>
        <v>0</v>
      </c>
      <c r="I1297" s="228"/>
      <c r="J1297" s="228"/>
      <c r="K1297" s="228"/>
      <c r="L1297"/>
      <c r="M1297"/>
    </row>
    <row r="1298" spans="1:13" s="28" customFormat="1" ht="31.5" x14ac:dyDescent="0.2">
      <c r="A1298" s="81" t="s">
        <v>26</v>
      </c>
      <c r="B1298" s="31" t="s">
        <v>619</v>
      </c>
      <c r="C1298" s="31" t="s">
        <v>489</v>
      </c>
      <c r="D1298" s="32" t="s">
        <v>754</v>
      </c>
      <c r="E1298" s="32">
        <v>240</v>
      </c>
      <c r="F1298" s="83">
        <v>115.9</v>
      </c>
      <c r="G1298" s="83">
        <v>0</v>
      </c>
      <c r="H1298" s="258">
        <f t="shared" si="155"/>
        <v>0</v>
      </c>
      <c r="I1298" s="228"/>
      <c r="J1298" s="228"/>
      <c r="K1298" s="228"/>
      <c r="L1298"/>
      <c r="M1298"/>
    </row>
    <row r="1299" spans="1:13" s="28" customFormat="1" hidden="1" x14ac:dyDescent="0.2">
      <c r="A1299" s="81" t="s">
        <v>27</v>
      </c>
      <c r="B1299" s="31" t="s">
        <v>619</v>
      </c>
      <c r="C1299" s="31" t="s">
        <v>489</v>
      </c>
      <c r="D1299" s="32" t="s">
        <v>754</v>
      </c>
      <c r="E1299" s="32">
        <v>300</v>
      </c>
      <c r="F1299" s="83">
        <f>F1300+F1301</f>
        <v>0</v>
      </c>
      <c r="G1299" s="83">
        <f>G1300+G1301</f>
        <v>0</v>
      </c>
      <c r="H1299" s="258" t="e">
        <f t="shared" si="155"/>
        <v>#DIV/0!</v>
      </c>
      <c r="I1299" s="228"/>
      <c r="J1299" s="228"/>
      <c r="K1299" s="228"/>
      <c r="L1299"/>
      <c r="M1299"/>
    </row>
    <row r="1300" spans="1:13" s="28" customFormat="1" ht="31.5" hidden="1" x14ac:dyDescent="0.2">
      <c r="A1300" s="81" t="s">
        <v>185</v>
      </c>
      <c r="B1300" s="31" t="s">
        <v>619</v>
      </c>
      <c r="C1300" s="31" t="s">
        <v>489</v>
      </c>
      <c r="D1300" s="32" t="s">
        <v>754</v>
      </c>
      <c r="E1300" s="32">
        <v>320</v>
      </c>
      <c r="F1300" s="83">
        <v>0</v>
      </c>
      <c r="G1300" s="83">
        <v>0</v>
      </c>
      <c r="H1300" s="258" t="e">
        <f t="shared" si="155"/>
        <v>#DIV/0!</v>
      </c>
      <c r="I1300" s="228"/>
      <c r="J1300" s="228"/>
      <c r="K1300" s="228"/>
      <c r="L1300"/>
      <c r="M1300"/>
    </row>
    <row r="1301" spans="1:13" s="28" customFormat="1" ht="15.75" hidden="1" customHeight="1" x14ac:dyDescent="0.2">
      <c r="A1301" s="81" t="s">
        <v>156</v>
      </c>
      <c r="B1301" s="31" t="s">
        <v>619</v>
      </c>
      <c r="C1301" s="31" t="s">
        <v>489</v>
      </c>
      <c r="D1301" s="32" t="s">
        <v>755</v>
      </c>
      <c r="E1301" s="32">
        <v>360</v>
      </c>
      <c r="F1301" s="83">
        <f>70.3-70.3</f>
        <v>0</v>
      </c>
      <c r="G1301" s="83">
        <f>70.3-70.3</f>
        <v>0</v>
      </c>
      <c r="H1301" s="258" t="e">
        <f t="shared" si="155"/>
        <v>#DIV/0!</v>
      </c>
      <c r="I1301" s="228"/>
      <c r="J1301" s="228"/>
      <c r="K1301" s="228"/>
      <c r="L1301"/>
      <c r="M1301"/>
    </row>
    <row r="1302" spans="1:13" s="98" customFormat="1" hidden="1" x14ac:dyDescent="0.2">
      <c r="A1302" s="81" t="s">
        <v>29</v>
      </c>
      <c r="B1302" s="31" t="s">
        <v>619</v>
      </c>
      <c r="C1302" s="31" t="s">
        <v>489</v>
      </c>
      <c r="D1302" s="32" t="s">
        <v>755</v>
      </c>
      <c r="E1302" s="31" t="s">
        <v>130</v>
      </c>
      <c r="F1302" s="83">
        <f>F1303</f>
        <v>0</v>
      </c>
      <c r="G1302" s="83">
        <f>G1303</f>
        <v>0</v>
      </c>
      <c r="H1302" s="258" t="e">
        <f t="shared" si="155"/>
        <v>#DIV/0!</v>
      </c>
      <c r="I1302" s="228"/>
      <c r="J1302" s="228"/>
      <c r="K1302" s="228"/>
      <c r="L1302"/>
      <c r="M1302"/>
    </row>
    <row r="1303" spans="1:13" s="98" customFormat="1" hidden="1" x14ac:dyDescent="0.2">
      <c r="A1303" s="81" t="s">
        <v>50</v>
      </c>
      <c r="B1303" s="31" t="s">
        <v>619</v>
      </c>
      <c r="C1303" s="31" t="s">
        <v>489</v>
      </c>
      <c r="D1303" s="32" t="s">
        <v>755</v>
      </c>
      <c r="E1303" s="31" t="s">
        <v>277</v>
      </c>
      <c r="F1303" s="83">
        <f>320.5-130.6-189.9</f>
        <v>0</v>
      </c>
      <c r="G1303" s="83">
        <f>320.5-130.6-189.9</f>
        <v>0</v>
      </c>
      <c r="H1303" s="258" t="e">
        <f t="shared" ref="H1303:H1366" si="159">G1303/F1303</f>
        <v>#DIV/0!</v>
      </c>
      <c r="I1303" s="228"/>
      <c r="J1303" s="228"/>
      <c r="K1303" s="228"/>
      <c r="L1303"/>
      <c r="M1303"/>
    </row>
    <row r="1304" spans="1:13" s="45" customFormat="1" x14ac:dyDescent="0.2">
      <c r="A1304" s="222" t="s">
        <v>197</v>
      </c>
      <c r="B1304" s="15" t="s">
        <v>619</v>
      </c>
      <c r="C1304" s="15" t="s">
        <v>489</v>
      </c>
      <c r="D1304" s="24" t="s">
        <v>198</v>
      </c>
      <c r="E1304" s="15"/>
      <c r="F1304" s="80">
        <f>F1305+F1315</f>
        <v>434.7</v>
      </c>
      <c r="G1304" s="80">
        <f>G1305+G1315</f>
        <v>52</v>
      </c>
      <c r="H1304" s="258">
        <f t="shared" si="159"/>
        <v>0.1196227283183805</v>
      </c>
      <c r="I1304" s="228"/>
      <c r="J1304" s="228"/>
      <c r="K1304" s="228"/>
      <c r="L1304"/>
      <c r="M1304"/>
    </row>
    <row r="1305" spans="1:13" s="98" customFormat="1" ht="31.5" x14ac:dyDescent="0.2">
      <c r="A1305" s="224" t="s">
        <v>478</v>
      </c>
      <c r="B1305" s="40" t="s">
        <v>619</v>
      </c>
      <c r="C1305" s="40" t="s">
        <v>489</v>
      </c>
      <c r="D1305" s="106" t="s">
        <v>481</v>
      </c>
      <c r="E1305" s="31"/>
      <c r="F1305" s="83">
        <f>F1306</f>
        <v>337.2</v>
      </c>
      <c r="G1305" s="83">
        <f>G1306</f>
        <v>0</v>
      </c>
      <c r="H1305" s="258">
        <f t="shared" si="159"/>
        <v>0</v>
      </c>
      <c r="I1305" s="228"/>
      <c r="J1305" s="228"/>
      <c r="K1305" s="228"/>
      <c r="L1305"/>
      <c r="M1305"/>
    </row>
    <row r="1306" spans="1:13" s="2" customFormat="1" ht="31.5" x14ac:dyDescent="0.2">
      <c r="A1306" s="233" t="s">
        <v>756</v>
      </c>
      <c r="B1306" s="31" t="s">
        <v>619</v>
      </c>
      <c r="C1306" s="31" t="s">
        <v>489</v>
      </c>
      <c r="D1306" s="32" t="s">
        <v>727</v>
      </c>
      <c r="E1306" s="31"/>
      <c r="F1306" s="83">
        <f>F1307</f>
        <v>337.2</v>
      </c>
      <c r="G1306" s="83">
        <f>G1307</f>
        <v>0</v>
      </c>
      <c r="H1306" s="258">
        <f t="shared" si="159"/>
        <v>0</v>
      </c>
      <c r="I1306" s="228"/>
      <c r="J1306" s="228"/>
      <c r="K1306" s="228"/>
      <c r="L1306"/>
      <c r="M1306"/>
    </row>
    <row r="1307" spans="1:13" s="2" customFormat="1" ht="23.45" customHeight="1" x14ac:dyDescent="0.2">
      <c r="A1307" s="36" t="s">
        <v>757</v>
      </c>
      <c r="B1307" s="31" t="s">
        <v>619</v>
      </c>
      <c r="C1307" s="31" t="s">
        <v>489</v>
      </c>
      <c r="D1307" s="32" t="s">
        <v>758</v>
      </c>
      <c r="E1307" s="31"/>
      <c r="F1307" s="83">
        <f>F1308+F1310</f>
        <v>337.2</v>
      </c>
      <c r="G1307" s="83">
        <f>G1308+G1310</f>
        <v>0</v>
      </c>
      <c r="H1307" s="258">
        <f t="shared" si="159"/>
        <v>0</v>
      </c>
      <c r="I1307" s="228"/>
      <c r="J1307" s="228"/>
      <c r="K1307" s="228"/>
      <c r="L1307"/>
      <c r="M1307"/>
    </row>
    <row r="1308" spans="1:13" s="2" customFormat="1" ht="31.5" x14ac:dyDescent="0.2">
      <c r="A1308" s="81" t="s">
        <v>25</v>
      </c>
      <c r="B1308" s="31" t="s">
        <v>619</v>
      </c>
      <c r="C1308" s="31" t="s">
        <v>489</v>
      </c>
      <c r="D1308" s="32" t="s">
        <v>758</v>
      </c>
      <c r="E1308" s="32">
        <v>200</v>
      </c>
      <c r="F1308" s="83">
        <f>F1309</f>
        <v>105.2</v>
      </c>
      <c r="G1308" s="83">
        <f>G1309</f>
        <v>0</v>
      </c>
      <c r="H1308" s="258">
        <f t="shared" si="159"/>
        <v>0</v>
      </c>
      <c r="I1308" s="228"/>
      <c r="J1308" s="228"/>
      <c r="K1308" s="228"/>
      <c r="L1308"/>
      <c r="M1308"/>
    </row>
    <row r="1309" spans="1:13" s="2" customFormat="1" ht="31.5" x14ac:dyDescent="0.2">
      <c r="A1309" s="81" t="s">
        <v>26</v>
      </c>
      <c r="B1309" s="31" t="s">
        <v>619</v>
      </c>
      <c r="C1309" s="31" t="s">
        <v>489</v>
      </c>
      <c r="D1309" s="32" t="s">
        <v>758</v>
      </c>
      <c r="E1309" s="32">
        <v>240</v>
      </c>
      <c r="F1309" s="82">
        <f>105.2</f>
        <v>105.2</v>
      </c>
      <c r="G1309" s="82">
        <v>0</v>
      </c>
      <c r="H1309" s="258">
        <f t="shared" si="159"/>
        <v>0</v>
      </c>
      <c r="I1309" s="228"/>
      <c r="J1309" s="228"/>
      <c r="K1309" s="228"/>
      <c r="L1309"/>
      <c r="M1309"/>
    </row>
    <row r="1310" spans="1:13" s="2" customFormat="1" x14ac:dyDescent="0.2">
      <c r="A1310" s="81" t="s">
        <v>27</v>
      </c>
      <c r="B1310" s="31" t="s">
        <v>619</v>
      </c>
      <c r="C1310" s="31" t="s">
        <v>489</v>
      </c>
      <c r="D1310" s="32" t="s">
        <v>758</v>
      </c>
      <c r="E1310" s="32">
        <v>300</v>
      </c>
      <c r="F1310" s="83">
        <f>F1311+F1312</f>
        <v>232</v>
      </c>
      <c r="G1310" s="83">
        <f>G1311+G1312</f>
        <v>0</v>
      </c>
      <c r="H1310" s="258">
        <f t="shared" si="159"/>
        <v>0</v>
      </c>
      <c r="I1310" s="228"/>
      <c r="J1310" s="228"/>
      <c r="K1310" s="228"/>
      <c r="L1310"/>
      <c r="M1310"/>
    </row>
    <row r="1311" spans="1:13" s="2" customFormat="1" ht="31.5" x14ac:dyDescent="0.2">
      <c r="A1311" s="81" t="s">
        <v>185</v>
      </c>
      <c r="B1311" s="31" t="s">
        <v>619</v>
      </c>
      <c r="C1311" s="31" t="s">
        <v>489</v>
      </c>
      <c r="D1311" s="32" t="s">
        <v>758</v>
      </c>
      <c r="E1311" s="32">
        <v>320</v>
      </c>
      <c r="F1311" s="82">
        <f>232</f>
        <v>232</v>
      </c>
      <c r="G1311" s="82">
        <v>0</v>
      </c>
      <c r="H1311" s="258">
        <f t="shared" si="159"/>
        <v>0</v>
      </c>
      <c r="I1311" s="228"/>
      <c r="J1311" s="228"/>
      <c r="K1311" s="228"/>
      <c r="L1311"/>
      <c r="M1311"/>
    </row>
    <row r="1312" spans="1:13" s="2" customFormat="1" hidden="1" x14ac:dyDescent="0.2">
      <c r="A1312" s="81" t="s">
        <v>156</v>
      </c>
      <c r="B1312" s="31" t="s">
        <v>619</v>
      </c>
      <c r="C1312" s="31" t="s">
        <v>489</v>
      </c>
      <c r="D1312" s="32" t="s">
        <v>758</v>
      </c>
      <c r="E1312" s="32">
        <v>360</v>
      </c>
      <c r="F1312" s="83"/>
      <c r="G1312" s="83"/>
      <c r="H1312" s="258" t="e">
        <f t="shared" si="159"/>
        <v>#DIV/0!</v>
      </c>
      <c r="I1312" s="228"/>
      <c r="J1312" s="228"/>
      <c r="K1312" s="228"/>
      <c r="L1312"/>
      <c r="M1312"/>
    </row>
    <row r="1313" spans="1:13" s="98" customFormat="1" hidden="1" x14ac:dyDescent="0.2">
      <c r="A1313" s="81" t="s">
        <v>29</v>
      </c>
      <c r="B1313" s="31" t="s">
        <v>619</v>
      </c>
      <c r="C1313" s="31" t="s">
        <v>489</v>
      </c>
      <c r="D1313" s="32" t="s">
        <v>758</v>
      </c>
      <c r="E1313" s="31" t="s">
        <v>130</v>
      </c>
      <c r="F1313" s="83">
        <f>F1314</f>
        <v>0</v>
      </c>
      <c r="G1313" s="83">
        <f>G1314</f>
        <v>0</v>
      </c>
      <c r="H1313" s="258" t="e">
        <f t="shared" si="159"/>
        <v>#DIV/0!</v>
      </c>
      <c r="I1313" s="228"/>
      <c r="J1313" s="228"/>
      <c r="K1313" s="228"/>
      <c r="L1313"/>
      <c r="M1313"/>
    </row>
    <row r="1314" spans="1:13" s="98" customFormat="1" hidden="1" x14ac:dyDescent="0.2">
      <c r="A1314" s="81" t="s">
        <v>50</v>
      </c>
      <c r="B1314" s="31" t="s">
        <v>619</v>
      </c>
      <c r="C1314" s="31" t="s">
        <v>489</v>
      </c>
      <c r="D1314" s="32" t="s">
        <v>758</v>
      </c>
      <c r="E1314" s="31" t="s">
        <v>277</v>
      </c>
      <c r="F1314" s="83">
        <f>315-315</f>
        <v>0</v>
      </c>
      <c r="G1314" s="83">
        <f>315-315</f>
        <v>0</v>
      </c>
      <c r="H1314" s="258" t="e">
        <f t="shared" si="159"/>
        <v>#DIV/0!</v>
      </c>
      <c r="I1314" s="228"/>
      <c r="J1314" s="228"/>
      <c r="K1314" s="228"/>
      <c r="L1314"/>
      <c r="M1314"/>
    </row>
    <row r="1315" spans="1:13" s="232" customFormat="1" ht="47.25" x14ac:dyDescent="0.2">
      <c r="A1315" s="224" t="s">
        <v>759</v>
      </c>
      <c r="B1315" s="40" t="s">
        <v>619</v>
      </c>
      <c r="C1315" s="40" t="s">
        <v>489</v>
      </c>
      <c r="D1315" s="106" t="s">
        <v>491</v>
      </c>
      <c r="E1315" s="31"/>
      <c r="F1315" s="87">
        <f>F1316+F1318</f>
        <v>97.5</v>
      </c>
      <c r="G1315" s="87">
        <f>G1316+G1318</f>
        <v>52</v>
      </c>
      <c r="H1315" s="258">
        <f t="shared" si="159"/>
        <v>0.53333333333333333</v>
      </c>
      <c r="I1315" s="228"/>
      <c r="J1315" s="228"/>
      <c r="K1315" s="228"/>
      <c r="L1315"/>
      <c r="M1315"/>
    </row>
    <row r="1316" spans="1:13" s="232" customFormat="1" ht="31.5" x14ac:dyDescent="0.2">
      <c r="A1316" s="81" t="s">
        <v>25</v>
      </c>
      <c r="B1316" s="31" t="s">
        <v>619</v>
      </c>
      <c r="C1316" s="31" t="s">
        <v>489</v>
      </c>
      <c r="D1316" s="32" t="s">
        <v>491</v>
      </c>
      <c r="E1316" s="31" t="s">
        <v>36</v>
      </c>
      <c r="F1316" s="83">
        <f>F1317</f>
        <v>77.5</v>
      </c>
      <c r="G1316" s="83">
        <f>G1317</f>
        <v>52</v>
      </c>
      <c r="H1316" s="258">
        <f t="shared" si="159"/>
        <v>0.67096774193548392</v>
      </c>
      <c r="I1316" s="228"/>
      <c r="J1316" s="228"/>
      <c r="K1316" s="228"/>
      <c r="L1316"/>
      <c r="M1316"/>
    </row>
    <row r="1317" spans="1:13" s="232" customFormat="1" ht="31.5" x14ac:dyDescent="0.2">
      <c r="A1317" s="81" t="s">
        <v>26</v>
      </c>
      <c r="B1317" s="31" t="s">
        <v>619</v>
      </c>
      <c r="C1317" s="31" t="s">
        <v>489</v>
      </c>
      <c r="D1317" s="32" t="s">
        <v>491</v>
      </c>
      <c r="E1317" s="31" t="s">
        <v>37</v>
      </c>
      <c r="F1317" s="83">
        <v>77.5</v>
      </c>
      <c r="G1317" s="83">
        <v>52</v>
      </c>
      <c r="H1317" s="258">
        <f t="shared" si="159"/>
        <v>0.67096774193548392</v>
      </c>
      <c r="I1317" s="228"/>
      <c r="J1317" s="228"/>
      <c r="K1317" s="228"/>
      <c r="L1317"/>
      <c r="M1317"/>
    </row>
    <row r="1318" spans="1:13" s="232" customFormat="1" x14ac:dyDescent="0.2">
      <c r="A1318" s="81" t="s">
        <v>27</v>
      </c>
      <c r="B1318" s="31" t="s">
        <v>619</v>
      </c>
      <c r="C1318" s="31" t="s">
        <v>489</v>
      </c>
      <c r="D1318" s="32" t="s">
        <v>491</v>
      </c>
      <c r="E1318" s="31" t="s">
        <v>155</v>
      </c>
      <c r="F1318" s="83">
        <f>F1319</f>
        <v>20</v>
      </c>
      <c r="G1318" s="83">
        <f>G1319</f>
        <v>0</v>
      </c>
      <c r="H1318" s="258">
        <f t="shared" si="159"/>
        <v>0</v>
      </c>
      <c r="I1318" s="228"/>
      <c r="J1318" s="228"/>
      <c r="K1318" s="228"/>
      <c r="L1318"/>
      <c r="M1318"/>
    </row>
    <row r="1319" spans="1:13" s="232" customFormat="1" x14ac:dyDescent="0.2">
      <c r="A1319" s="81" t="s">
        <v>156</v>
      </c>
      <c r="B1319" s="31" t="s">
        <v>619</v>
      </c>
      <c r="C1319" s="31" t="s">
        <v>489</v>
      </c>
      <c r="D1319" s="32" t="s">
        <v>491</v>
      </c>
      <c r="E1319" s="31" t="s">
        <v>157</v>
      </c>
      <c r="F1319" s="83">
        <v>20</v>
      </c>
      <c r="G1319" s="83">
        <v>0</v>
      </c>
      <c r="H1319" s="258">
        <f t="shared" si="159"/>
        <v>0</v>
      </c>
      <c r="I1319" s="228"/>
      <c r="J1319" s="228"/>
      <c r="K1319" s="228"/>
      <c r="L1319"/>
      <c r="M1319"/>
    </row>
    <row r="1320" spans="1:13" s="5" customFormat="1" x14ac:dyDescent="0.2">
      <c r="A1320" s="33" t="s">
        <v>760</v>
      </c>
      <c r="B1320" s="34" t="s">
        <v>619</v>
      </c>
      <c r="C1320" s="34" t="s">
        <v>761</v>
      </c>
      <c r="D1320" s="34"/>
      <c r="E1320" s="41"/>
      <c r="F1320" s="35">
        <f>F1325+F1337+F1347</f>
        <v>16108.9</v>
      </c>
      <c r="G1320" s="35">
        <f>G1325+G1337+G1347-0.1</f>
        <v>6487.5999999999995</v>
      </c>
      <c r="H1320" s="258">
        <f t="shared" si="159"/>
        <v>0.40273389244454927</v>
      </c>
      <c r="I1320" s="228"/>
      <c r="J1320" s="228"/>
      <c r="K1320" s="228"/>
      <c r="L1320"/>
      <c r="M1320"/>
    </row>
    <row r="1321" spans="1:13" s="5" customFormat="1" ht="22.5" hidden="1" customHeight="1" x14ac:dyDescent="0.2">
      <c r="A1321" s="74" t="s">
        <v>67</v>
      </c>
      <c r="B1321" s="34" t="s">
        <v>619</v>
      </c>
      <c r="C1321" s="34" t="s">
        <v>761</v>
      </c>
      <c r="D1321" s="34" t="s">
        <v>32</v>
      </c>
      <c r="E1321" s="34"/>
      <c r="F1321" s="136">
        <f>F1322</f>
        <v>0</v>
      </c>
      <c r="G1321" s="136">
        <f>G1322</f>
        <v>0</v>
      </c>
      <c r="H1321" s="258" t="e">
        <f t="shared" si="159"/>
        <v>#DIV/0!</v>
      </c>
      <c r="I1321" s="228"/>
      <c r="J1321" s="228"/>
      <c r="K1321" s="228"/>
      <c r="L1321"/>
      <c r="M1321"/>
    </row>
    <row r="1322" spans="1:13" s="45" customFormat="1" ht="31.5" hidden="1" customHeight="1" x14ac:dyDescent="0.2">
      <c r="A1322" s="36" t="s">
        <v>70</v>
      </c>
      <c r="B1322" s="31" t="s">
        <v>619</v>
      </c>
      <c r="C1322" s="31" t="s">
        <v>761</v>
      </c>
      <c r="D1322" s="31" t="s">
        <v>35</v>
      </c>
      <c r="E1322" s="31"/>
      <c r="F1322" s="83">
        <f>F1323+F1324</f>
        <v>0</v>
      </c>
      <c r="G1322" s="83">
        <f>G1323+G1324</f>
        <v>0</v>
      </c>
      <c r="H1322" s="258" t="e">
        <f t="shared" si="159"/>
        <v>#DIV/0!</v>
      </c>
      <c r="I1322" s="228"/>
      <c r="J1322" s="228"/>
      <c r="K1322" s="228"/>
      <c r="L1322"/>
      <c r="M1322"/>
    </row>
    <row r="1323" spans="1:13" s="45" customFormat="1" ht="15.75" hidden="1" customHeight="1" x14ac:dyDescent="0.2">
      <c r="A1323" s="30" t="s">
        <v>762</v>
      </c>
      <c r="B1323" s="31" t="s">
        <v>619</v>
      </c>
      <c r="C1323" s="31" t="s">
        <v>761</v>
      </c>
      <c r="D1323" s="31" t="s">
        <v>763</v>
      </c>
      <c r="E1323" s="31" t="s">
        <v>764</v>
      </c>
      <c r="F1323" s="83"/>
      <c r="G1323" s="83"/>
      <c r="H1323" s="258" t="e">
        <f t="shared" si="159"/>
        <v>#DIV/0!</v>
      </c>
      <c r="I1323" s="228"/>
      <c r="J1323" s="228"/>
      <c r="K1323" s="228"/>
      <c r="L1323"/>
      <c r="M1323"/>
    </row>
    <row r="1324" spans="1:13" s="5" customFormat="1" ht="17.25" hidden="1" customHeight="1" x14ac:dyDescent="0.2">
      <c r="A1324" s="81" t="s">
        <v>765</v>
      </c>
      <c r="B1324" s="31" t="s">
        <v>619</v>
      </c>
      <c r="C1324" s="31" t="s">
        <v>761</v>
      </c>
      <c r="D1324" s="31" t="s">
        <v>35</v>
      </c>
      <c r="E1324" s="31" t="s">
        <v>512</v>
      </c>
      <c r="F1324" s="83"/>
      <c r="G1324" s="83"/>
      <c r="H1324" s="258" t="e">
        <f t="shared" si="159"/>
        <v>#DIV/0!</v>
      </c>
      <c r="I1324" s="228"/>
      <c r="J1324" s="228"/>
      <c r="K1324" s="228"/>
      <c r="L1324"/>
      <c r="M1324"/>
    </row>
    <row r="1325" spans="1:13" s="2" customFormat="1" ht="51" customHeight="1" x14ac:dyDescent="0.2">
      <c r="A1325" s="89" t="s">
        <v>766</v>
      </c>
      <c r="B1325" s="31" t="s">
        <v>619</v>
      </c>
      <c r="C1325" s="31" t="s">
        <v>761</v>
      </c>
      <c r="D1325" s="31" t="s">
        <v>18</v>
      </c>
      <c r="E1325" s="32"/>
      <c r="F1325" s="83">
        <f>F1326</f>
        <v>6904.4999999999991</v>
      </c>
      <c r="G1325" s="83">
        <f>G1326</f>
        <v>4636.8999999999996</v>
      </c>
      <c r="H1325" s="258">
        <f t="shared" si="159"/>
        <v>0.67157650807444425</v>
      </c>
      <c r="I1325" s="228"/>
      <c r="J1325" s="228"/>
      <c r="K1325" s="228"/>
      <c r="L1325"/>
      <c r="M1325"/>
    </row>
    <row r="1326" spans="1:13" s="2" customFormat="1" x14ac:dyDescent="0.2">
      <c r="A1326" s="30" t="s">
        <v>21</v>
      </c>
      <c r="B1326" s="31" t="s">
        <v>619</v>
      </c>
      <c r="C1326" s="31" t="s">
        <v>761</v>
      </c>
      <c r="D1326" s="31" t="s">
        <v>22</v>
      </c>
      <c r="E1326" s="32"/>
      <c r="F1326" s="83">
        <f>F1327+F1330+F1332+F1335</f>
        <v>6904.4999999999991</v>
      </c>
      <c r="G1326" s="83">
        <f>G1327+G1330+G1332+G1335</f>
        <v>4636.8999999999996</v>
      </c>
      <c r="H1326" s="258">
        <f t="shared" si="159"/>
        <v>0.67157650807444425</v>
      </c>
      <c r="I1326" s="228"/>
      <c r="J1326" s="228"/>
      <c r="K1326" s="228"/>
      <c r="L1326"/>
      <c r="M1326"/>
    </row>
    <row r="1327" spans="1:13" s="5" customFormat="1" ht="35.25" customHeight="1" x14ac:dyDescent="0.2">
      <c r="A1327" s="81" t="s">
        <v>23</v>
      </c>
      <c r="B1327" s="31" t="s">
        <v>619</v>
      </c>
      <c r="C1327" s="31" t="s">
        <v>761</v>
      </c>
      <c r="D1327" s="32" t="s">
        <v>22</v>
      </c>
      <c r="E1327" s="31" t="s">
        <v>43</v>
      </c>
      <c r="F1327" s="83">
        <f>F1328+F1329</f>
        <v>6041.4</v>
      </c>
      <c r="G1327" s="83">
        <f>G1328+G1329</f>
        <v>4226.8999999999996</v>
      </c>
      <c r="H1327" s="258">
        <f t="shared" si="159"/>
        <v>0.69965570894163598</v>
      </c>
      <c r="I1327" s="228"/>
      <c r="J1327" s="228"/>
      <c r="K1327" s="228"/>
      <c r="L1327"/>
      <c r="M1327"/>
    </row>
    <row r="1328" spans="1:13" s="5" customFormat="1" hidden="1" x14ac:dyDescent="0.2">
      <c r="A1328" s="81" t="s">
        <v>142</v>
      </c>
      <c r="B1328" s="31" t="s">
        <v>619</v>
      </c>
      <c r="C1328" s="31" t="s">
        <v>761</v>
      </c>
      <c r="D1328" s="32" t="s">
        <v>767</v>
      </c>
      <c r="E1328" s="31" t="s">
        <v>143</v>
      </c>
      <c r="F1328" s="83"/>
      <c r="G1328" s="83"/>
      <c r="H1328" s="258" t="e">
        <f t="shared" si="159"/>
        <v>#DIV/0!</v>
      </c>
      <c r="I1328" s="228"/>
      <c r="J1328" s="228"/>
      <c r="K1328" s="228"/>
      <c r="L1328"/>
      <c r="M1328"/>
    </row>
    <row r="1329" spans="1:13" s="5" customFormat="1" ht="31.5" customHeight="1" x14ac:dyDescent="0.2">
      <c r="A1329" s="43" t="s">
        <v>24</v>
      </c>
      <c r="B1329" s="31" t="s">
        <v>619</v>
      </c>
      <c r="C1329" s="31" t="s">
        <v>761</v>
      </c>
      <c r="D1329" s="32" t="s">
        <v>22</v>
      </c>
      <c r="E1329" s="31" t="s">
        <v>44</v>
      </c>
      <c r="F1329" s="83">
        <f>5685.4+356</f>
        <v>6041.4</v>
      </c>
      <c r="G1329" s="83">
        <f>3288.9+0.5+937.5</f>
        <v>4226.8999999999996</v>
      </c>
      <c r="H1329" s="258">
        <f t="shared" si="159"/>
        <v>0.69965570894163598</v>
      </c>
      <c r="I1329" s="228"/>
      <c r="J1329" s="228"/>
      <c r="K1329" s="228"/>
      <c r="L1329"/>
      <c r="M1329"/>
    </row>
    <row r="1330" spans="1:13" s="5" customFormat="1" ht="31.5" x14ac:dyDescent="0.2">
      <c r="A1330" s="81" t="s">
        <v>25</v>
      </c>
      <c r="B1330" s="31" t="s">
        <v>619</v>
      </c>
      <c r="C1330" s="31" t="s">
        <v>761</v>
      </c>
      <c r="D1330" s="32" t="s">
        <v>22</v>
      </c>
      <c r="E1330" s="31" t="s">
        <v>36</v>
      </c>
      <c r="F1330" s="83">
        <f>F1331</f>
        <v>856.9</v>
      </c>
      <c r="G1330" s="83">
        <f>G1331</f>
        <v>408.7</v>
      </c>
      <c r="H1330" s="258">
        <f t="shared" si="159"/>
        <v>0.47695180301085305</v>
      </c>
      <c r="I1330" s="228"/>
      <c r="J1330" s="228"/>
      <c r="K1330" s="228"/>
      <c r="L1330"/>
      <c r="M1330"/>
    </row>
    <row r="1331" spans="1:13" s="28" customFormat="1" ht="31.5" x14ac:dyDescent="0.2">
      <c r="A1331" s="81" t="s">
        <v>26</v>
      </c>
      <c r="B1331" s="31" t="s">
        <v>619</v>
      </c>
      <c r="C1331" s="31" t="s">
        <v>761</v>
      </c>
      <c r="D1331" s="32" t="s">
        <v>22</v>
      </c>
      <c r="E1331" s="31" t="s">
        <v>37</v>
      </c>
      <c r="F1331" s="83">
        <v>856.9</v>
      </c>
      <c r="G1331" s="83">
        <v>408.7</v>
      </c>
      <c r="H1331" s="258">
        <f t="shared" si="159"/>
        <v>0.47695180301085305</v>
      </c>
      <c r="I1331" s="228"/>
      <c r="J1331" s="228"/>
      <c r="K1331" s="228"/>
      <c r="L1331"/>
      <c r="M1331"/>
    </row>
    <row r="1332" spans="1:13" s="28" customFormat="1" hidden="1" x14ac:dyDescent="0.2">
      <c r="A1332" s="81" t="s">
        <v>27</v>
      </c>
      <c r="B1332" s="31" t="s">
        <v>619</v>
      </c>
      <c r="C1332" s="31" t="s">
        <v>761</v>
      </c>
      <c r="D1332" s="32" t="s">
        <v>22</v>
      </c>
      <c r="E1332" s="31" t="s">
        <v>155</v>
      </c>
      <c r="F1332" s="83">
        <f>F1333+F1334</f>
        <v>0</v>
      </c>
      <c r="G1332" s="83">
        <f>G1333+G1334</f>
        <v>0</v>
      </c>
      <c r="H1332" s="258" t="e">
        <f t="shared" si="159"/>
        <v>#DIV/0!</v>
      </c>
      <c r="I1332" s="228"/>
      <c r="J1332" s="228"/>
      <c r="K1332" s="228"/>
      <c r="L1332"/>
      <c r="M1332"/>
    </row>
    <row r="1333" spans="1:13" s="28" customFormat="1" ht="31.5" hidden="1" x14ac:dyDescent="0.2">
      <c r="A1333" s="81" t="s">
        <v>185</v>
      </c>
      <c r="B1333" s="31" t="s">
        <v>619</v>
      </c>
      <c r="C1333" s="31" t="s">
        <v>761</v>
      </c>
      <c r="D1333" s="32" t="s">
        <v>22</v>
      </c>
      <c r="E1333" s="31" t="s">
        <v>550</v>
      </c>
      <c r="F1333" s="83"/>
      <c r="G1333" s="83"/>
      <c r="H1333" s="258" t="e">
        <f t="shared" si="159"/>
        <v>#DIV/0!</v>
      </c>
      <c r="I1333" s="228"/>
      <c r="J1333" s="228"/>
      <c r="K1333" s="228"/>
      <c r="L1333"/>
      <c r="M1333"/>
    </row>
    <row r="1334" spans="1:13" s="28" customFormat="1" hidden="1" x14ac:dyDescent="0.2">
      <c r="A1334" s="81" t="s">
        <v>156</v>
      </c>
      <c r="B1334" s="31" t="s">
        <v>619</v>
      </c>
      <c r="C1334" s="31" t="s">
        <v>761</v>
      </c>
      <c r="D1334" s="32" t="s">
        <v>22</v>
      </c>
      <c r="E1334" s="31" t="s">
        <v>157</v>
      </c>
      <c r="F1334" s="83">
        <f>37.5-37.5</f>
        <v>0</v>
      </c>
      <c r="G1334" s="83">
        <f>37.5-37.5</f>
        <v>0</v>
      </c>
      <c r="H1334" s="258" t="e">
        <f t="shared" si="159"/>
        <v>#DIV/0!</v>
      </c>
      <c r="I1334" s="228"/>
      <c r="J1334" s="228"/>
      <c r="K1334" s="228"/>
      <c r="L1334"/>
      <c r="M1334"/>
    </row>
    <row r="1335" spans="1:13" s="45" customFormat="1" x14ac:dyDescent="0.2">
      <c r="A1335" s="81" t="s">
        <v>29</v>
      </c>
      <c r="B1335" s="31" t="s">
        <v>619</v>
      </c>
      <c r="C1335" s="31" t="s">
        <v>761</v>
      </c>
      <c r="D1335" s="32" t="s">
        <v>22</v>
      </c>
      <c r="E1335" s="31" t="s">
        <v>130</v>
      </c>
      <c r="F1335" s="83">
        <f>F1336</f>
        <v>6.2</v>
      </c>
      <c r="G1335" s="83">
        <f>G1336</f>
        <v>1.3</v>
      </c>
      <c r="H1335" s="258">
        <f t="shared" si="159"/>
        <v>0.20967741935483872</v>
      </c>
      <c r="I1335" s="228"/>
      <c r="J1335" s="228"/>
      <c r="K1335" s="228"/>
      <c r="L1335"/>
      <c r="M1335"/>
    </row>
    <row r="1336" spans="1:13" s="45" customFormat="1" x14ac:dyDescent="0.2">
      <c r="A1336" s="81" t="s">
        <v>31</v>
      </c>
      <c r="B1336" s="31" t="s">
        <v>619</v>
      </c>
      <c r="C1336" s="31" t="s">
        <v>761</v>
      </c>
      <c r="D1336" s="32" t="s">
        <v>22</v>
      </c>
      <c r="E1336" s="31" t="s">
        <v>168</v>
      </c>
      <c r="F1336" s="83">
        <v>6.2</v>
      </c>
      <c r="G1336" s="83">
        <v>1.3</v>
      </c>
      <c r="H1336" s="258">
        <f t="shared" si="159"/>
        <v>0.20967741935483872</v>
      </c>
      <c r="I1336" s="228"/>
      <c r="J1336" s="228"/>
      <c r="K1336" s="228"/>
      <c r="L1336"/>
      <c r="M1336"/>
    </row>
    <row r="1337" spans="1:13" s="45" customFormat="1" ht="31.5" x14ac:dyDescent="0.2">
      <c r="A1337" s="222" t="s">
        <v>625</v>
      </c>
      <c r="B1337" s="15" t="s">
        <v>619</v>
      </c>
      <c r="C1337" s="15" t="s">
        <v>761</v>
      </c>
      <c r="D1337" s="24" t="s">
        <v>470</v>
      </c>
      <c r="E1337" s="15"/>
      <c r="F1337" s="65">
        <f>F1338+F1342</f>
        <v>5899.5</v>
      </c>
      <c r="G1337" s="65">
        <f>G1338+G1342</f>
        <v>1783.8</v>
      </c>
      <c r="H1337" s="258">
        <f t="shared" si="159"/>
        <v>0.30236460717009916</v>
      </c>
      <c r="I1337" s="228"/>
      <c r="J1337" s="228"/>
      <c r="K1337" s="228"/>
      <c r="L1337"/>
      <c r="M1337"/>
    </row>
    <row r="1338" spans="1:13" s="45" customFormat="1" ht="47.25" x14ac:dyDescent="0.2">
      <c r="A1338" s="163" t="s">
        <v>768</v>
      </c>
      <c r="B1338" s="193" t="s">
        <v>619</v>
      </c>
      <c r="C1338" s="193" t="s">
        <v>761</v>
      </c>
      <c r="D1338" s="141" t="s">
        <v>769</v>
      </c>
      <c r="E1338" s="15"/>
      <c r="F1338" s="82">
        <f t="shared" ref="F1338:G1340" si="160">F1339</f>
        <v>2749.5</v>
      </c>
      <c r="G1338" s="82">
        <f t="shared" si="160"/>
        <v>1783.8</v>
      </c>
      <c r="H1338" s="258">
        <f t="shared" si="159"/>
        <v>0.64877250409165299</v>
      </c>
      <c r="I1338" s="228"/>
      <c r="J1338" s="228"/>
      <c r="K1338" s="228"/>
      <c r="L1338"/>
      <c r="M1338"/>
    </row>
    <row r="1339" spans="1:13" s="98" customFormat="1" ht="78.75" x14ac:dyDescent="0.2">
      <c r="A1339" s="163" t="s">
        <v>770</v>
      </c>
      <c r="B1339" s="193" t="s">
        <v>619</v>
      </c>
      <c r="C1339" s="193" t="s">
        <v>761</v>
      </c>
      <c r="D1339" s="141" t="s">
        <v>771</v>
      </c>
      <c r="E1339" s="31"/>
      <c r="F1339" s="82">
        <f t="shared" si="160"/>
        <v>2749.5</v>
      </c>
      <c r="G1339" s="82">
        <f t="shared" si="160"/>
        <v>1783.8</v>
      </c>
      <c r="H1339" s="258">
        <f t="shared" si="159"/>
        <v>0.64877250409165299</v>
      </c>
      <c r="I1339" s="228"/>
      <c r="J1339" s="228"/>
      <c r="K1339" s="228"/>
      <c r="L1339" s="234"/>
      <c r="M1339" s="234"/>
    </row>
    <row r="1340" spans="1:13" s="98" customFormat="1" ht="31.5" x14ac:dyDescent="0.2">
      <c r="A1340" s="81" t="s">
        <v>25</v>
      </c>
      <c r="B1340" s="193" t="s">
        <v>619</v>
      </c>
      <c r="C1340" s="193" t="s">
        <v>761</v>
      </c>
      <c r="D1340" s="141" t="s">
        <v>771</v>
      </c>
      <c r="E1340" s="31" t="s">
        <v>36</v>
      </c>
      <c r="F1340" s="82">
        <f t="shared" si="160"/>
        <v>2749.5</v>
      </c>
      <c r="G1340" s="82">
        <f t="shared" si="160"/>
        <v>1783.8</v>
      </c>
      <c r="H1340" s="258">
        <f t="shared" si="159"/>
        <v>0.64877250409165299</v>
      </c>
      <c r="I1340" s="228"/>
      <c r="J1340" s="228"/>
      <c r="K1340" s="228"/>
      <c r="L1340" s="234"/>
      <c r="M1340" s="234"/>
    </row>
    <row r="1341" spans="1:13" s="98" customFormat="1" ht="31.5" x14ac:dyDescent="0.2">
      <c r="A1341" s="81" t="s">
        <v>26</v>
      </c>
      <c r="B1341" s="193" t="s">
        <v>619</v>
      </c>
      <c r="C1341" s="193" t="s">
        <v>761</v>
      </c>
      <c r="D1341" s="141" t="s">
        <v>771</v>
      </c>
      <c r="E1341" s="31" t="s">
        <v>37</v>
      </c>
      <c r="F1341" s="82">
        <v>2749.5</v>
      </c>
      <c r="G1341" s="82">
        <v>1783.8</v>
      </c>
      <c r="H1341" s="258">
        <f t="shared" si="159"/>
        <v>0.64877250409165299</v>
      </c>
      <c r="I1341" s="228"/>
      <c r="J1341" s="228"/>
      <c r="K1341" s="228"/>
      <c r="L1341" s="234"/>
      <c r="M1341" s="234"/>
    </row>
    <row r="1342" spans="1:13" s="45" customFormat="1" ht="37.15" customHeight="1" x14ac:dyDescent="0.2">
      <c r="A1342" s="81" t="s">
        <v>690</v>
      </c>
      <c r="B1342" s="31" t="s">
        <v>619</v>
      </c>
      <c r="C1342" s="31" t="s">
        <v>761</v>
      </c>
      <c r="D1342" s="32" t="s">
        <v>172</v>
      </c>
      <c r="E1342" s="31"/>
      <c r="F1342" s="83">
        <f t="shared" ref="F1342:G1345" si="161">F1343</f>
        <v>3150</v>
      </c>
      <c r="G1342" s="83">
        <f t="shared" si="161"/>
        <v>0</v>
      </c>
      <c r="H1342" s="258">
        <f t="shared" si="159"/>
        <v>0</v>
      </c>
      <c r="I1342" s="228"/>
      <c r="J1342" s="228"/>
      <c r="K1342" s="228"/>
      <c r="L1342"/>
      <c r="M1342"/>
    </row>
    <row r="1343" spans="1:13" s="45" customFormat="1" ht="52.15" customHeight="1" x14ac:dyDescent="0.2">
      <c r="A1343" s="81" t="s">
        <v>772</v>
      </c>
      <c r="B1343" s="31" t="s">
        <v>619</v>
      </c>
      <c r="C1343" s="31" t="s">
        <v>761</v>
      </c>
      <c r="D1343" s="32" t="s">
        <v>696</v>
      </c>
      <c r="E1343" s="31"/>
      <c r="F1343" s="83">
        <f t="shared" si="161"/>
        <v>3150</v>
      </c>
      <c r="G1343" s="83">
        <f t="shared" si="161"/>
        <v>0</v>
      </c>
      <c r="H1343" s="258">
        <f t="shared" si="159"/>
        <v>0</v>
      </c>
      <c r="I1343" s="228"/>
      <c r="J1343" s="228"/>
      <c r="K1343" s="228"/>
      <c r="L1343"/>
      <c r="M1343"/>
    </row>
    <row r="1344" spans="1:13" s="45" customFormat="1" ht="63" x14ac:dyDescent="0.2">
      <c r="A1344" s="81" t="s">
        <v>773</v>
      </c>
      <c r="B1344" s="31" t="s">
        <v>619</v>
      </c>
      <c r="C1344" s="31" t="s">
        <v>761</v>
      </c>
      <c r="D1344" s="32" t="s">
        <v>774</v>
      </c>
      <c r="E1344" s="31"/>
      <c r="F1344" s="83">
        <f t="shared" si="161"/>
        <v>3150</v>
      </c>
      <c r="G1344" s="83">
        <f t="shared" si="161"/>
        <v>0</v>
      </c>
      <c r="H1344" s="258">
        <f t="shared" si="159"/>
        <v>0</v>
      </c>
      <c r="I1344" s="228"/>
      <c r="J1344" s="228"/>
      <c r="K1344" s="228"/>
      <c r="L1344"/>
      <c r="M1344"/>
    </row>
    <row r="1345" spans="1:13" s="45" customFormat="1" ht="31.5" x14ac:dyDescent="0.2">
      <c r="A1345" s="81" t="s">
        <v>25</v>
      </c>
      <c r="B1345" s="31" t="s">
        <v>619</v>
      </c>
      <c r="C1345" s="31" t="s">
        <v>761</v>
      </c>
      <c r="D1345" s="32" t="s">
        <v>774</v>
      </c>
      <c r="E1345" s="31" t="s">
        <v>36</v>
      </c>
      <c r="F1345" s="83">
        <f t="shared" si="161"/>
        <v>3150</v>
      </c>
      <c r="G1345" s="83">
        <f t="shared" si="161"/>
        <v>0</v>
      </c>
      <c r="H1345" s="258">
        <f t="shared" si="159"/>
        <v>0</v>
      </c>
      <c r="I1345" s="228"/>
      <c r="J1345" s="228"/>
      <c r="K1345" s="228"/>
      <c r="L1345"/>
      <c r="M1345"/>
    </row>
    <row r="1346" spans="1:13" s="45" customFormat="1" ht="31.5" x14ac:dyDescent="0.2">
      <c r="A1346" s="81" t="s">
        <v>26</v>
      </c>
      <c r="B1346" s="31" t="s">
        <v>619</v>
      </c>
      <c r="C1346" s="31" t="s">
        <v>761</v>
      </c>
      <c r="D1346" s="32" t="s">
        <v>774</v>
      </c>
      <c r="E1346" s="31" t="s">
        <v>37</v>
      </c>
      <c r="F1346" s="83">
        <v>3150</v>
      </c>
      <c r="G1346" s="83">
        <v>0</v>
      </c>
      <c r="H1346" s="258">
        <f t="shared" si="159"/>
        <v>0</v>
      </c>
      <c r="I1346" s="228"/>
      <c r="J1346" s="228"/>
      <c r="K1346" s="228"/>
      <c r="L1346"/>
      <c r="M1346"/>
    </row>
    <row r="1347" spans="1:13" s="45" customFormat="1" x14ac:dyDescent="0.2">
      <c r="A1347" s="222" t="s">
        <v>197</v>
      </c>
      <c r="B1347" s="15" t="s">
        <v>619</v>
      </c>
      <c r="C1347" s="15" t="s">
        <v>761</v>
      </c>
      <c r="D1347" s="24" t="s">
        <v>198</v>
      </c>
      <c r="E1347" s="15"/>
      <c r="F1347" s="80">
        <f>F1348+F1362+F1365+F1368</f>
        <v>3304.9</v>
      </c>
      <c r="G1347" s="80">
        <f>G1348+G1362+G1365+G1368</f>
        <v>67</v>
      </c>
      <c r="H1347" s="258">
        <f t="shared" si="159"/>
        <v>2.0272928076492482E-2</v>
      </c>
      <c r="I1347" s="228"/>
      <c r="J1347" s="228"/>
      <c r="K1347" s="228"/>
      <c r="L1347"/>
      <c r="M1347"/>
    </row>
    <row r="1348" spans="1:13" s="98" customFormat="1" ht="31.5" x14ac:dyDescent="0.2">
      <c r="A1348" s="224" t="s">
        <v>478</v>
      </c>
      <c r="B1348" s="40" t="s">
        <v>619</v>
      </c>
      <c r="C1348" s="31" t="s">
        <v>761</v>
      </c>
      <c r="D1348" s="106" t="s">
        <v>481</v>
      </c>
      <c r="E1348" s="31"/>
      <c r="F1348" s="87">
        <f>F1349+F1351+F1353+F1356+F1358</f>
        <v>3274.9</v>
      </c>
      <c r="G1348" s="87">
        <f>G1349+G1351+G1353+G1356+G1358</f>
        <v>62.699999999999996</v>
      </c>
      <c r="H1348" s="258">
        <f t="shared" si="159"/>
        <v>1.9145622767107389E-2</v>
      </c>
      <c r="I1348" s="228"/>
      <c r="J1348" s="228"/>
      <c r="K1348" s="228"/>
      <c r="L1348"/>
      <c r="M1348"/>
    </row>
    <row r="1349" spans="1:13" s="98" customFormat="1" ht="61.9" hidden="1" customHeight="1" x14ac:dyDescent="0.2">
      <c r="A1349" s="81" t="s">
        <v>23</v>
      </c>
      <c r="B1349" s="31" t="s">
        <v>619</v>
      </c>
      <c r="C1349" s="31" t="s">
        <v>761</v>
      </c>
      <c r="D1349" s="32" t="s">
        <v>481</v>
      </c>
      <c r="E1349" s="31" t="s">
        <v>43</v>
      </c>
      <c r="F1349" s="83">
        <f>F1350</f>
        <v>0</v>
      </c>
      <c r="G1349" s="83">
        <f>G1350</f>
        <v>0</v>
      </c>
      <c r="H1349" s="258" t="e">
        <f t="shared" si="159"/>
        <v>#DIV/0!</v>
      </c>
      <c r="I1349" s="228"/>
      <c r="J1349" s="228"/>
      <c r="K1349" s="228"/>
      <c r="L1349"/>
      <c r="M1349"/>
    </row>
    <row r="1350" spans="1:13" s="98" customFormat="1" hidden="1" x14ac:dyDescent="0.2">
      <c r="A1350" s="81" t="s">
        <v>142</v>
      </c>
      <c r="B1350" s="31" t="s">
        <v>619</v>
      </c>
      <c r="C1350" s="31" t="s">
        <v>761</v>
      </c>
      <c r="D1350" s="32" t="s">
        <v>481</v>
      </c>
      <c r="E1350" s="31" t="s">
        <v>143</v>
      </c>
      <c r="F1350" s="82">
        <f>50-50</f>
        <v>0</v>
      </c>
      <c r="G1350" s="82">
        <f>50-50</f>
        <v>0</v>
      </c>
      <c r="H1350" s="258" t="e">
        <f t="shared" si="159"/>
        <v>#DIV/0!</v>
      </c>
      <c r="I1350" s="228"/>
      <c r="J1350" s="228"/>
      <c r="K1350" s="228"/>
      <c r="L1350"/>
      <c r="M1350"/>
    </row>
    <row r="1351" spans="1:13" s="98" customFormat="1" ht="31.5" x14ac:dyDescent="0.2">
      <c r="A1351" s="81" t="s">
        <v>25</v>
      </c>
      <c r="B1351" s="31" t="s">
        <v>619</v>
      </c>
      <c r="C1351" s="31" t="s">
        <v>761</v>
      </c>
      <c r="D1351" s="32" t="s">
        <v>481</v>
      </c>
      <c r="E1351" s="31" t="s">
        <v>36</v>
      </c>
      <c r="F1351" s="83">
        <f>F1352</f>
        <v>74.900000000000006</v>
      </c>
      <c r="G1351" s="83">
        <f>G1352</f>
        <v>28.9</v>
      </c>
      <c r="H1351" s="258">
        <f t="shared" si="159"/>
        <v>0.3858477970627503</v>
      </c>
      <c r="I1351" s="228"/>
      <c r="J1351" s="228"/>
      <c r="K1351" s="228"/>
      <c r="L1351"/>
      <c r="M1351"/>
    </row>
    <row r="1352" spans="1:13" s="98" customFormat="1" ht="31.5" x14ac:dyDescent="0.2">
      <c r="A1352" s="81" t="s">
        <v>26</v>
      </c>
      <c r="B1352" s="31" t="s">
        <v>619</v>
      </c>
      <c r="C1352" s="31" t="s">
        <v>761</v>
      </c>
      <c r="D1352" s="32" t="s">
        <v>481</v>
      </c>
      <c r="E1352" s="31" t="s">
        <v>37</v>
      </c>
      <c r="F1352" s="83">
        <v>74.900000000000006</v>
      </c>
      <c r="G1352" s="83">
        <v>28.9</v>
      </c>
      <c r="H1352" s="258">
        <f t="shared" si="159"/>
        <v>0.3858477970627503</v>
      </c>
      <c r="I1352" s="228"/>
      <c r="J1352" s="228"/>
      <c r="K1352" s="228"/>
      <c r="L1352"/>
      <c r="M1352"/>
    </row>
    <row r="1353" spans="1:13" s="98" customFormat="1" x14ac:dyDescent="0.2">
      <c r="A1353" s="81" t="s">
        <v>27</v>
      </c>
      <c r="B1353" s="31" t="s">
        <v>619</v>
      </c>
      <c r="C1353" s="31" t="s">
        <v>761</v>
      </c>
      <c r="D1353" s="32" t="s">
        <v>481</v>
      </c>
      <c r="E1353" s="31" t="s">
        <v>155</v>
      </c>
      <c r="F1353" s="83">
        <f>F1354</f>
        <v>50</v>
      </c>
      <c r="G1353" s="83">
        <f>G1354</f>
        <v>33.799999999999997</v>
      </c>
      <c r="H1353" s="258">
        <f t="shared" si="159"/>
        <v>0.67599999999999993</v>
      </c>
      <c r="I1353" s="228"/>
      <c r="J1353" s="228"/>
      <c r="K1353" s="228"/>
      <c r="L1353"/>
      <c r="M1353"/>
    </row>
    <row r="1354" spans="1:13" s="98" customFormat="1" x14ac:dyDescent="0.2">
      <c r="A1354" s="81" t="s">
        <v>28</v>
      </c>
      <c r="B1354" s="31" t="s">
        <v>619</v>
      </c>
      <c r="C1354" s="31" t="s">
        <v>761</v>
      </c>
      <c r="D1354" s="32" t="s">
        <v>481</v>
      </c>
      <c r="E1354" s="31" t="s">
        <v>725</v>
      </c>
      <c r="F1354" s="83">
        <v>50</v>
      </c>
      <c r="G1354" s="83">
        <v>33.799999999999997</v>
      </c>
      <c r="H1354" s="258">
        <f t="shared" si="159"/>
        <v>0.67599999999999993</v>
      </c>
      <c r="I1354" s="228"/>
      <c r="J1354" s="228"/>
      <c r="K1354" s="228"/>
      <c r="L1354"/>
      <c r="M1354"/>
    </row>
    <row r="1355" spans="1:13" s="98" customFormat="1" hidden="1" x14ac:dyDescent="0.2">
      <c r="A1355" s="81" t="s">
        <v>156</v>
      </c>
      <c r="B1355" s="31" t="s">
        <v>619</v>
      </c>
      <c r="C1355" s="31" t="s">
        <v>761</v>
      </c>
      <c r="D1355" s="32" t="s">
        <v>481</v>
      </c>
      <c r="E1355" s="31" t="s">
        <v>157</v>
      </c>
      <c r="F1355" s="83"/>
      <c r="G1355" s="83"/>
      <c r="H1355" s="258" t="e">
        <f t="shared" si="159"/>
        <v>#DIV/0!</v>
      </c>
      <c r="I1355" s="228"/>
      <c r="J1355" s="228"/>
      <c r="K1355" s="228"/>
      <c r="L1355"/>
      <c r="M1355"/>
    </row>
    <row r="1356" spans="1:13" s="98" customFormat="1" hidden="1" x14ac:dyDescent="0.2">
      <c r="A1356" s="81" t="s">
        <v>29</v>
      </c>
      <c r="B1356" s="31" t="s">
        <v>619</v>
      </c>
      <c r="C1356" s="31" t="s">
        <v>761</v>
      </c>
      <c r="D1356" s="32" t="s">
        <v>481</v>
      </c>
      <c r="E1356" s="31" t="s">
        <v>130</v>
      </c>
      <c r="F1356" s="83">
        <f>F1357</f>
        <v>0</v>
      </c>
      <c r="G1356" s="83">
        <f>G1357</f>
        <v>0</v>
      </c>
      <c r="H1356" s="258" t="e">
        <f t="shared" si="159"/>
        <v>#DIV/0!</v>
      </c>
      <c r="I1356" s="228"/>
      <c r="J1356" s="228"/>
      <c r="K1356" s="228"/>
      <c r="L1356"/>
      <c r="M1356"/>
    </row>
    <row r="1357" spans="1:13" s="98" customFormat="1" hidden="1" x14ac:dyDescent="0.2">
      <c r="A1357" s="81" t="s">
        <v>50</v>
      </c>
      <c r="B1357" s="31" t="s">
        <v>619</v>
      </c>
      <c r="C1357" s="31" t="s">
        <v>761</v>
      </c>
      <c r="D1357" s="32" t="s">
        <v>481</v>
      </c>
      <c r="E1357" s="31" t="s">
        <v>277</v>
      </c>
      <c r="F1357" s="83">
        <f>80-80</f>
        <v>0</v>
      </c>
      <c r="G1357" s="83">
        <f>80-80</f>
        <v>0</v>
      </c>
      <c r="H1357" s="258" t="e">
        <f t="shared" si="159"/>
        <v>#DIV/0!</v>
      </c>
      <c r="I1357" s="228"/>
      <c r="J1357" s="228"/>
      <c r="K1357" s="228"/>
      <c r="L1357"/>
      <c r="M1357"/>
    </row>
    <row r="1358" spans="1:13" s="98" customFormat="1" ht="47.25" x14ac:dyDescent="0.2">
      <c r="A1358" s="81" t="s">
        <v>726</v>
      </c>
      <c r="B1358" s="31" t="s">
        <v>619</v>
      </c>
      <c r="C1358" s="31" t="s">
        <v>761</v>
      </c>
      <c r="D1358" s="32" t="s">
        <v>727</v>
      </c>
      <c r="E1358" s="31"/>
      <c r="F1358" s="83">
        <f t="shared" ref="F1358:G1360" si="162">F1359</f>
        <v>3150</v>
      </c>
      <c r="G1358" s="83">
        <f t="shared" si="162"/>
        <v>0</v>
      </c>
      <c r="H1358" s="258">
        <f t="shared" si="159"/>
        <v>0</v>
      </c>
      <c r="I1358" s="228"/>
      <c r="J1358" s="228"/>
      <c r="K1358" s="228"/>
      <c r="L1358"/>
      <c r="M1358"/>
    </row>
    <row r="1359" spans="1:13" s="98" customFormat="1" ht="34.9" customHeight="1" x14ac:dyDescent="0.2">
      <c r="A1359" s="81" t="s">
        <v>730</v>
      </c>
      <c r="B1359" s="31" t="s">
        <v>619</v>
      </c>
      <c r="C1359" s="31" t="s">
        <v>761</v>
      </c>
      <c r="D1359" s="32" t="s">
        <v>731</v>
      </c>
      <c r="E1359" s="31"/>
      <c r="F1359" s="82">
        <f t="shared" si="162"/>
        <v>3150</v>
      </c>
      <c r="G1359" s="82">
        <f t="shared" si="162"/>
        <v>0</v>
      </c>
      <c r="H1359" s="258">
        <f t="shared" si="159"/>
        <v>0</v>
      </c>
      <c r="I1359" s="228"/>
      <c r="J1359" s="228"/>
      <c r="K1359" s="228"/>
      <c r="L1359"/>
      <c r="M1359"/>
    </row>
    <row r="1360" spans="1:13" s="98" customFormat="1" ht="31.5" x14ac:dyDescent="0.2">
      <c r="A1360" s="81" t="s">
        <v>25</v>
      </c>
      <c r="B1360" s="31" t="s">
        <v>619</v>
      </c>
      <c r="C1360" s="31" t="s">
        <v>761</v>
      </c>
      <c r="D1360" s="32" t="s">
        <v>731</v>
      </c>
      <c r="E1360" s="31" t="s">
        <v>36</v>
      </c>
      <c r="F1360" s="83">
        <f t="shared" si="162"/>
        <v>3150</v>
      </c>
      <c r="G1360" s="83">
        <f t="shared" si="162"/>
        <v>0</v>
      </c>
      <c r="H1360" s="258">
        <f t="shared" si="159"/>
        <v>0</v>
      </c>
      <c r="I1360" s="228"/>
      <c r="J1360" s="228"/>
      <c r="K1360" s="228"/>
      <c r="L1360"/>
      <c r="M1360"/>
    </row>
    <row r="1361" spans="1:13" s="98" customFormat="1" ht="31.5" x14ac:dyDescent="0.2">
      <c r="A1361" s="81" t="s">
        <v>26</v>
      </c>
      <c r="B1361" s="31" t="s">
        <v>619</v>
      </c>
      <c r="C1361" s="31" t="s">
        <v>761</v>
      </c>
      <c r="D1361" s="32" t="s">
        <v>731</v>
      </c>
      <c r="E1361" s="31" t="s">
        <v>37</v>
      </c>
      <c r="F1361" s="83">
        <f>3150</f>
        <v>3150</v>
      </c>
      <c r="G1361" s="83">
        <v>0</v>
      </c>
      <c r="H1361" s="258">
        <f t="shared" si="159"/>
        <v>0</v>
      </c>
      <c r="I1361" s="228"/>
      <c r="J1361" s="228"/>
      <c r="K1361" s="228"/>
      <c r="L1361"/>
      <c r="M1361"/>
    </row>
    <row r="1362" spans="1:13" s="153" customFormat="1" ht="31.5" x14ac:dyDescent="0.2">
      <c r="A1362" s="115" t="s">
        <v>747</v>
      </c>
      <c r="B1362" s="108" t="s">
        <v>619</v>
      </c>
      <c r="C1362" s="108" t="s">
        <v>761</v>
      </c>
      <c r="D1362" s="108" t="s">
        <v>205</v>
      </c>
      <c r="E1362" s="109"/>
      <c r="F1362" s="186">
        <f>F1363</f>
        <v>20</v>
      </c>
      <c r="G1362" s="186">
        <f>G1363</f>
        <v>0</v>
      </c>
      <c r="H1362" s="258">
        <f t="shared" si="159"/>
        <v>0</v>
      </c>
      <c r="I1362" s="228"/>
      <c r="J1362" s="228"/>
      <c r="K1362" s="228"/>
      <c r="L1362"/>
      <c r="M1362"/>
    </row>
    <row r="1363" spans="1:13" s="232" customFormat="1" ht="31.5" x14ac:dyDescent="0.2">
      <c r="A1363" s="81" t="s">
        <v>25</v>
      </c>
      <c r="B1363" s="100" t="s">
        <v>619</v>
      </c>
      <c r="C1363" s="100" t="s">
        <v>761</v>
      </c>
      <c r="D1363" s="119" t="s">
        <v>205</v>
      </c>
      <c r="E1363" s="101">
        <v>200</v>
      </c>
      <c r="F1363" s="83">
        <f>F1364</f>
        <v>20</v>
      </c>
      <c r="G1363" s="83">
        <f>G1364</f>
        <v>0</v>
      </c>
      <c r="H1363" s="258">
        <f t="shared" si="159"/>
        <v>0</v>
      </c>
      <c r="I1363" s="228"/>
      <c r="J1363" s="228"/>
      <c r="K1363" s="228"/>
      <c r="L1363"/>
      <c r="M1363"/>
    </row>
    <row r="1364" spans="1:13" s="232" customFormat="1" ht="31.5" x14ac:dyDescent="0.2">
      <c r="A1364" s="81" t="s">
        <v>26</v>
      </c>
      <c r="B1364" s="100" t="s">
        <v>619</v>
      </c>
      <c r="C1364" s="100" t="s">
        <v>761</v>
      </c>
      <c r="D1364" s="119" t="s">
        <v>205</v>
      </c>
      <c r="E1364" s="101">
        <v>240</v>
      </c>
      <c r="F1364" s="83">
        <v>20</v>
      </c>
      <c r="G1364" s="83">
        <v>0</v>
      </c>
      <c r="H1364" s="258">
        <f t="shared" si="159"/>
        <v>0</v>
      </c>
      <c r="I1364" s="228"/>
      <c r="J1364" s="228"/>
      <c r="K1364" s="228"/>
      <c r="L1364"/>
      <c r="M1364"/>
    </row>
    <row r="1365" spans="1:13" s="153" customFormat="1" ht="47.25" hidden="1" x14ac:dyDescent="0.2">
      <c r="A1365" s="115" t="s">
        <v>208</v>
      </c>
      <c r="B1365" s="108" t="s">
        <v>619</v>
      </c>
      <c r="C1365" s="108" t="s">
        <v>761</v>
      </c>
      <c r="D1365" s="108" t="s">
        <v>209</v>
      </c>
      <c r="E1365" s="109"/>
      <c r="F1365" s="186">
        <f>F1366</f>
        <v>0</v>
      </c>
      <c r="G1365" s="186">
        <f>G1366</f>
        <v>0</v>
      </c>
      <c r="H1365" s="258" t="e">
        <f t="shared" si="159"/>
        <v>#DIV/0!</v>
      </c>
      <c r="I1365" s="228"/>
      <c r="J1365" s="228"/>
      <c r="K1365" s="228"/>
      <c r="L1365"/>
      <c r="M1365"/>
    </row>
    <row r="1366" spans="1:13" s="232" customFormat="1" ht="66.599999999999994" hidden="1" customHeight="1" x14ac:dyDescent="0.2">
      <c r="A1366" s="81" t="s">
        <v>23</v>
      </c>
      <c r="B1366" s="100" t="s">
        <v>619</v>
      </c>
      <c r="C1366" s="100" t="s">
        <v>761</v>
      </c>
      <c r="D1366" s="119" t="s">
        <v>209</v>
      </c>
      <c r="E1366" s="101">
        <v>100</v>
      </c>
      <c r="F1366" s="83">
        <f>F1367</f>
        <v>0</v>
      </c>
      <c r="G1366" s="83">
        <f>G1367</f>
        <v>0</v>
      </c>
      <c r="H1366" s="258" t="e">
        <f t="shared" si="159"/>
        <v>#DIV/0!</v>
      </c>
      <c r="I1366" s="228"/>
      <c r="J1366" s="228"/>
      <c r="K1366" s="228"/>
      <c r="L1366"/>
      <c r="M1366"/>
    </row>
    <row r="1367" spans="1:13" s="232" customFormat="1" hidden="1" x14ac:dyDescent="0.2">
      <c r="A1367" s="81" t="s">
        <v>142</v>
      </c>
      <c r="B1367" s="100" t="s">
        <v>619</v>
      </c>
      <c r="C1367" s="100" t="s">
        <v>761</v>
      </c>
      <c r="D1367" s="119" t="s">
        <v>209</v>
      </c>
      <c r="E1367" s="101">
        <v>110</v>
      </c>
      <c r="F1367" s="83">
        <f>400-400</f>
        <v>0</v>
      </c>
      <c r="G1367" s="83">
        <f>400-400</f>
        <v>0</v>
      </c>
      <c r="H1367" s="258" t="e">
        <f t="shared" ref="H1367:H1430" si="163">G1367/F1367</f>
        <v>#DIV/0!</v>
      </c>
      <c r="I1367" s="228"/>
      <c r="J1367" s="228"/>
      <c r="K1367" s="228"/>
      <c r="L1367"/>
      <c r="M1367"/>
    </row>
    <row r="1368" spans="1:13" s="232" customFormat="1" ht="47.25" x14ac:dyDescent="0.2">
      <c r="A1368" s="235" t="s">
        <v>210</v>
      </c>
      <c r="B1368" s="40" t="s">
        <v>619</v>
      </c>
      <c r="C1368" s="40" t="s">
        <v>761</v>
      </c>
      <c r="D1368" s="40" t="s">
        <v>211</v>
      </c>
      <c r="E1368" s="106"/>
      <c r="F1368" s="42">
        <f>F1369</f>
        <v>10</v>
      </c>
      <c r="G1368" s="42">
        <f>G1369</f>
        <v>4.3</v>
      </c>
      <c r="H1368" s="258">
        <f t="shared" si="163"/>
        <v>0.43</v>
      </c>
      <c r="I1368" s="228"/>
      <c r="J1368" s="228"/>
      <c r="K1368" s="228"/>
      <c r="L1368"/>
      <c r="M1368"/>
    </row>
    <row r="1369" spans="1:13" s="232" customFormat="1" ht="31.5" x14ac:dyDescent="0.2">
      <c r="A1369" s="81" t="s">
        <v>25</v>
      </c>
      <c r="B1369" s="31" t="s">
        <v>619</v>
      </c>
      <c r="C1369" s="31" t="s">
        <v>761</v>
      </c>
      <c r="D1369" s="193" t="s">
        <v>211</v>
      </c>
      <c r="E1369" s="32">
        <v>200</v>
      </c>
      <c r="F1369" s="29">
        <f>F1370</f>
        <v>10</v>
      </c>
      <c r="G1369" s="29">
        <f>G1370</f>
        <v>4.3</v>
      </c>
      <c r="H1369" s="258">
        <f t="shared" si="163"/>
        <v>0.43</v>
      </c>
      <c r="I1369" s="228"/>
      <c r="J1369" s="228"/>
      <c r="K1369" s="228"/>
      <c r="L1369"/>
      <c r="M1369"/>
    </row>
    <row r="1370" spans="1:13" s="232" customFormat="1" ht="31.5" x14ac:dyDescent="0.2">
      <c r="A1370" s="81" t="s">
        <v>26</v>
      </c>
      <c r="B1370" s="31" t="s">
        <v>619</v>
      </c>
      <c r="C1370" s="31" t="s">
        <v>761</v>
      </c>
      <c r="D1370" s="193" t="s">
        <v>211</v>
      </c>
      <c r="E1370" s="32">
        <v>240</v>
      </c>
      <c r="F1370" s="29">
        <v>10</v>
      </c>
      <c r="G1370" s="29">
        <v>4.3</v>
      </c>
      <c r="H1370" s="258">
        <f t="shared" si="163"/>
        <v>0.43</v>
      </c>
      <c r="I1370" s="228"/>
      <c r="J1370" s="228"/>
      <c r="K1370" s="228"/>
      <c r="L1370"/>
      <c r="M1370"/>
    </row>
    <row r="1371" spans="1:13" s="45" customFormat="1" x14ac:dyDescent="0.2">
      <c r="A1371" s="90" t="s">
        <v>571</v>
      </c>
      <c r="B1371" s="15" t="s">
        <v>619</v>
      </c>
      <c r="C1371" s="15" t="s">
        <v>572</v>
      </c>
      <c r="D1371" s="15"/>
      <c r="E1371" s="24"/>
      <c r="F1371" s="25">
        <f>F1372+F1407</f>
        <v>4439.83</v>
      </c>
      <c r="G1371" s="25">
        <f>G1372+G1407</f>
        <v>1404.73</v>
      </c>
      <c r="H1371" s="258">
        <f t="shared" si="163"/>
        <v>0.3163927447672546</v>
      </c>
      <c r="I1371" s="228"/>
      <c r="J1371" s="228"/>
      <c r="K1371" s="228"/>
      <c r="L1371"/>
      <c r="M1371"/>
    </row>
    <row r="1372" spans="1:13" s="5" customFormat="1" x14ac:dyDescent="0.2">
      <c r="A1372" s="33" t="s">
        <v>614</v>
      </c>
      <c r="B1372" s="34" t="s">
        <v>619</v>
      </c>
      <c r="C1372" s="34" t="s">
        <v>596</v>
      </c>
      <c r="D1372" s="34"/>
      <c r="E1372" s="41"/>
      <c r="F1372" s="35">
        <f>F1373+F1382+F1388+F1403+F1396</f>
        <v>4311</v>
      </c>
      <c r="G1372" s="35">
        <f>G1373+G1382+G1388+G1403+G1396</f>
        <v>1362.4</v>
      </c>
      <c r="H1372" s="258">
        <f t="shared" si="163"/>
        <v>0.31602876362792859</v>
      </c>
      <c r="I1372" s="228"/>
      <c r="J1372" s="228"/>
      <c r="K1372" s="228"/>
      <c r="L1372"/>
      <c r="M1372"/>
    </row>
    <row r="1373" spans="1:13" s="96" customFormat="1" ht="47.25" x14ac:dyDescent="0.2">
      <c r="A1373" s="92" t="s">
        <v>576</v>
      </c>
      <c r="B1373" s="93" t="s">
        <v>619</v>
      </c>
      <c r="C1373" s="93" t="s">
        <v>596</v>
      </c>
      <c r="D1373" s="94" t="s">
        <v>577</v>
      </c>
      <c r="E1373" s="100"/>
      <c r="F1373" s="147">
        <f>F1374</f>
        <v>3275.8</v>
      </c>
      <c r="G1373" s="147">
        <f>G1374</f>
        <v>600</v>
      </c>
      <c r="H1373" s="258">
        <f t="shared" si="163"/>
        <v>0.18316136516270834</v>
      </c>
      <c r="I1373" s="228"/>
      <c r="J1373" s="228"/>
      <c r="K1373" s="228"/>
      <c r="L1373"/>
      <c r="M1373"/>
    </row>
    <row r="1374" spans="1:13" s="5" customFormat="1" ht="20.45" customHeight="1" x14ac:dyDescent="0.2">
      <c r="A1374" s="30" t="s">
        <v>578</v>
      </c>
      <c r="B1374" s="31" t="s">
        <v>619</v>
      </c>
      <c r="C1374" s="31" t="s">
        <v>596</v>
      </c>
      <c r="D1374" s="32" t="s">
        <v>579</v>
      </c>
      <c r="E1374" s="31"/>
      <c r="F1374" s="88">
        <f>F1375</f>
        <v>3275.8</v>
      </c>
      <c r="G1374" s="88">
        <f>G1375</f>
        <v>600</v>
      </c>
      <c r="H1374" s="258">
        <f t="shared" si="163"/>
        <v>0.18316136516270834</v>
      </c>
      <c r="I1374" s="228"/>
      <c r="J1374" s="228"/>
      <c r="K1374" s="228"/>
      <c r="L1374"/>
      <c r="M1374"/>
    </row>
    <row r="1375" spans="1:13" s="5" customFormat="1" x14ac:dyDescent="0.2">
      <c r="A1375" s="30" t="s">
        <v>580</v>
      </c>
      <c r="B1375" s="31" t="s">
        <v>619</v>
      </c>
      <c r="C1375" s="31" t="s">
        <v>596</v>
      </c>
      <c r="D1375" s="32" t="s">
        <v>581</v>
      </c>
      <c r="E1375" s="31"/>
      <c r="F1375" s="88">
        <f>F1376+F1379</f>
        <v>3275.8</v>
      </c>
      <c r="G1375" s="88">
        <f>G1376+G1379</f>
        <v>600</v>
      </c>
      <c r="H1375" s="258">
        <f t="shared" si="163"/>
        <v>0.18316136516270834</v>
      </c>
      <c r="I1375" s="228"/>
      <c r="J1375" s="228"/>
      <c r="K1375" s="228"/>
      <c r="L1375"/>
      <c r="M1375"/>
    </row>
    <row r="1376" spans="1:13" s="5" customFormat="1" ht="97.15" customHeight="1" x14ac:dyDescent="0.2">
      <c r="A1376" s="236" t="s">
        <v>775</v>
      </c>
      <c r="B1376" s="31" t="s">
        <v>619</v>
      </c>
      <c r="C1376" s="31" t="s">
        <v>596</v>
      </c>
      <c r="D1376" s="32" t="s">
        <v>776</v>
      </c>
      <c r="E1376" s="31"/>
      <c r="F1376" s="29">
        <f>F1377</f>
        <v>600</v>
      </c>
      <c r="G1376" s="29">
        <f>G1377</f>
        <v>600</v>
      </c>
      <c r="H1376" s="258">
        <f t="shared" si="163"/>
        <v>1</v>
      </c>
      <c r="I1376" s="228"/>
      <c r="J1376" s="228"/>
      <c r="K1376" s="228"/>
      <c r="L1376"/>
      <c r="M1376"/>
    </row>
    <row r="1377" spans="1:13" s="5" customFormat="1" ht="31.5" x14ac:dyDescent="0.2">
      <c r="A1377" s="43" t="s">
        <v>25</v>
      </c>
      <c r="B1377" s="31" t="s">
        <v>619</v>
      </c>
      <c r="C1377" s="31" t="s">
        <v>596</v>
      </c>
      <c r="D1377" s="32" t="s">
        <v>776</v>
      </c>
      <c r="E1377" s="31" t="s">
        <v>36</v>
      </c>
      <c r="F1377" s="88">
        <f>F1378</f>
        <v>600</v>
      </c>
      <c r="G1377" s="88">
        <f>G1378</f>
        <v>600</v>
      </c>
      <c r="H1377" s="258">
        <f t="shared" si="163"/>
        <v>1</v>
      </c>
      <c r="I1377" s="228"/>
      <c r="J1377" s="228"/>
      <c r="K1377" s="228"/>
      <c r="L1377"/>
      <c r="M1377"/>
    </row>
    <row r="1378" spans="1:13" s="5" customFormat="1" ht="31.5" x14ac:dyDescent="0.2">
      <c r="A1378" s="43" t="s">
        <v>26</v>
      </c>
      <c r="B1378" s="31" t="s">
        <v>619</v>
      </c>
      <c r="C1378" s="31" t="s">
        <v>596</v>
      </c>
      <c r="D1378" s="32" t="s">
        <v>776</v>
      </c>
      <c r="E1378" s="31" t="s">
        <v>37</v>
      </c>
      <c r="F1378" s="88">
        <v>600</v>
      </c>
      <c r="G1378" s="88">
        <v>600</v>
      </c>
      <c r="H1378" s="258">
        <f t="shared" si="163"/>
        <v>1</v>
      </c>
      <c r="I1378" s="228"/>
      <c r="J1378" s="228"/>
      <c r="K1378" s="228"/>
      <c r="L1378"/>
      <c r="M1378"/>
    </row>
    <row r="1379" spans="1:13" s="56" customFormat="1" ht="31.5" x14ac:dyDescent="0.2">
      <c r="A1379" s="139" t="s">
        <v>777</v>
      </c>
      <c r="B1379" s="121" t="s">
        <v>619</v>
      </c>
      <c r="C1379" s="199" t="s">
        <v>596</v>
      </c>
      <c r="D1379" s="59" t="s">
        <v>778</v>
      </c>
      <c r="E1379" s="122"/>
      <c r="F1379" s="49">
        <f>F1380</f>
        <v>2675.8</v>
      </c>
      <c r="G1379" s="49">
        <f>G1380</f>
        <v>0</v>
      </c>
      <c r="H1379" s="258">
        <f t="shared" si="163"/>
        <v>0</v>
      </c>
      <c r="I1379" s="228"/>
      <c r="J1379" s="228"/>
      <c r="K1379" s="228"/>
      <c r="L1379"/>
      <c r="M1379"/>
    </row>
    <row r="1380" spans="1:13" s="56" customFormat="1" ht="31.5" x14ac:dyDescent="0.2">
      <c r="A1380" s="43" t="s">
        <v>25</v>
      </c>
      <c r="B1380" s="58" t="s">
        <v>619</v>
      </c>
      <c r="C1380" s="58" t="s">
        <v>596</v>
      </c>
      <c r="D1380" s="59" t="s">
        <v>778</v>
      </c>
      <c r="E1380" s="59">
        <v>200</v>
      </c>
      <c r="F1380" s="49">
        <f>F1381</f>
        <v>2675.8</v>
      </c>
      <c r="G1380" s="49">
        <f>G1381</f>
        <v>0</v>
      </c>
      <c r="H1380" s="258">
        <f t="shared" si="163"/>
        <v>0</v>
      </c>
      <c r="I1380" s="228"/>
      <c r="J1380" s="228"/>
      <c r="K1380" s="228"/>
      <c r="L1380"/>
      <c r="M1380"/>
    </row>
    <row r="1381" spans="1:13" s="56" customFormat="1" ht="31.5" x14ac:dyDescent="0.2">
      <c r="A1381" s="43" t="s">
        <v>26</v>
      </c>
      <c r="B1381" s="58" t="s">
        <v>619</v>
      </c>
      <c r="C1381" s="58" t="s">
        <v>596</v>
      </c>
      <c r="D1381" s="59" t="s">
        <v>778</v>
      </c>
      <c r="E1381" s="59">
        <v>240</v>
      </c>
      <c r="F1381" s="49">
        <f>80.3+2595.5</f>
        <v>2675.8</v>
      </c>
      <c r="G1381" s="49">
        <v>0</v>
      </c>
      <c r="H1381" s="258">
        <f t="shared" si="163"/>
        <v>0</v>
      </c>
      <c r="I1381" s="228"/>
      <c r="J1381" s="228"/>
      <c r="K1381" s="228"/>
      <c r="L1381"/>
      <c r="M1381"/>
    </row>
    <row r="1382" spans="1:13" s="60" customFormat="1" x14ac:dyDescent="0.2">
      <c r="A1382" s="237" t="s">
        <v>197</v>
      </c>
      <c r="B1382" s="53" t="s">
        <v>619</v>
      </c>
      <c r="C1382" s="53" t="s">
        <v>596</v>
      </c>
      <c r="D1382" s="54" t="s">
        <v>778</v>
      </c>
      <c r="E1382" s="54"/>
      <c r="F1382" s="48">
        <f t="shared" ref="F1382:G1386" si="164">F1383</f>
        <v>83</v>
      </c>
      <c r="G1382" s="48">
        <f t="shared" si="164"/>
        <v>0</v>
      </c>
      <c r="H1382" s="258">
        <f t="shared" si="163"/>
        <v>0</v>
      </c>
      <c r="I1382" s="228"/>
      <c r="J1382" s="228"/>
      <c r="K1382" s="228"/>
      <c r="L1382"/>
      <c r="M1382"/>
    </row>
    <row r="1383" spans="1:13" s="91" customFormat="1" ht="46.15" customHeight="1" x14ac:dyDescent="0.2">
      <c r="A1383" s="238" t="s">
        <v>779</v>
      </c>
      <c r="B1383" s="68" t="s">
        <v>619</v>
      </c>
      <c r="C1383" s="68" t="s">
        <v>596</v>
      </c>
      <c r="D1383" s="59" t="s">
        <v>778</v>
      </c>
      <c r="E1383" s="68"/>
      <c r="F1383" s="129">
        <f t="shared" si="164"/>
        <v>83</v>
      </c>
      <c r="G1383" s="129">
        <f t="shared" si="164"/>
        <v>0</v>
      </c>
      <c r="H1383" s="258">
        <f t="shared" si="163"/>
        <v>0</v>
      </c>
      <c r="I1383" s="228"/>
      <c r="J1383" s="228"/>
      <c r="K1383" s="228"/>
      <c r="L1383"/>
      <c r="M1383"/>
    </row>
    <row r="1384" spans="1:13" s="56" customFormat="1" ht="63" x14ac:dyDescent="0.2">
      <c r="A1384" s="139" t="s">
        <v>780</v>
      </c>
      <c r="B1384" s="58" t="s">
        <v>619</v>
      </c>
      <c r="C1384" s="58" t="s">
        <v>596</v>
      </c>
      <c r="D1384" s="59" t="s">
        <v>778</v>
      </c>
      <c r="E1384" s="58"/>
      <c r="F1384" s="49">
        <f t="shared" si="164"/>
        <v>83</v>
      </c>
      <c r="G1384" s="49">
        <f t="shared" si="164"/>
        <v>0</v>
      </c>
      <c r="H1384" s="258">
        <f t="shared" si="163"/>
        <v>0</v>
      </c>
      <c r="I1384" s="228"/>
      <c r="J1384" s="228"/>
      <c r="K1384" s="228"/>
      <c r="L1384"/>
      <c r="M1384"/>
    </row>
    <row r="1385" spans="1:13" s="56" customFormat="1" ht="31.5" x14ac:dyDescent="0.2">
      <c r="A1385" s="139" t="s">
        <v>781</v>
      </c>
      <c r="B1385" s="58" t="s">
        <v>619</v>
      </c>
      <c r="C1385" s="58" t="s">
        <v>596</v>
      </c>
      <c r="D1385" s="59" t="s">
        <v>778</v>
      </c>
      <c r="E1385" s="58"/>
      <c r="F1385" s="49">
        <f t="shared" si="164"/>
        <v>83</v>
      </c>
      <c r="G1385" s="49">
        <f t="shared" si="164"/>
        <v>0</v>
      </c>
      <c r="H1385" s="258">
        <f t="shared" si="163"/>
        <v>0</v>
      </c>
      <c r="I1385" s="228"/>
      <c r="J1385" s="228"/>
      <c r="K1385" s="228"/>
      <c r="L1385"/>
      <c r="M1385"/>
    </row>
    <row r="1386" spans="1:13" s="56" customFormat="1" ht="15.75" customHeight="1" x14ac:dyDescent="0.2">
      <c r="A1386" s="57" t="s">
        <v>25</v>
      </c>
      <c r="B1386" s="58" t="s">
        <v>619</v>
      </c>
      <c r="C1386" s="58" t="s">
        <v>596</v>
      </c>
      <c r="D1386" s="59" t="s">
        <v>778</v>
      </c>
      <c r="E1386" s="58" t="s">
        <v>36</v>
      </c>
      <c r="F1386" s="49">
        <f t="shared" si="164"/>
        <v>83</v>
      </c>
      <c r="G1386" s="49">
        <f t="shared" si="164"/>
        <v>0</v>
      </c>
      <c r="H1386" s="258">
        <f t="shared" si="163"/>
        <v>0</v>
      </c>
      <c r="I1386" s="228"/>
      <c r="J1386" s="228"/>
      <c r="K1386" s="228"/>
      <c r="L1386"/>
      <c r="M1386"/>
    </row>
    <row r="1387" spans="1:13" s="56" customFormat="1" ht="31.5" x14ac:dyDescent="0.2">
      <c r="A1387" s="57" t="s">
        <v>26</v>
      </c>
      <c r="B1387" s="58" t="s">
        <v>619</v>
      </c>
      <c r="C1387" s="58" t="s">
        <v>596</v>
      </c>
      <c r="D1387" s="59" t="s">
        <v>778</v>
      </c>
      <c r="E1387" s="58" t="s">
        <v>37</v>
      </c>
      <c r="F1387" s="49">
        <v>83</v>
      </c>
      <c r="G1387" s="49">
        <v>0</v>
      </c>
      <c r="H1387" s="258">
        <f t="shared" si="163"/>
        <v>0</v>
      </c>
      <c r="I1387" s="228"/>
      <c r="J1387" s="228"/>
      <c r="K1387" s="228"/>
      <c r="L1387"/>
      <c r="M1387"/>
    </row>
    <row r="1388" spans="1:13" s="56" customFormat="1" ht="31.5" x14ac:dyDescent="0.2">
      <c r="A1388" s="127" t="s">
        <v>591</v>
      </c>
      <c r="B1388" s="53" t="s">
        <v>8</v>
      </c>
      <c r="C1388" s="53" t="s">
        <v>596</v>
      </c>
      <c r="D1388" s="53" t="s">
        <v>592</v>
      </c>
      <c r="E1388" s="53"/>
      <c r="F1388" s="48">
        <f>F1389</f>
        <v>732.2</v>
      </c>
      <c r="G1388" s="48">
        <f>G1389</f>
        <v>542.4</v>
      </c>
      <c r="H1388" s="258">
        <f t="shared" si="163"/>
        <v>0.7407812073204042</v>
      </c>
      <c r="I1388" s="124"/>
      <c r="J1388" s="124"/>
      <c r="K1388" s="124"/>
      <c r="L1388" s="125"/>
      <c r="M1388" s="125"/>
    </row>
    <row r="1389" spans="1:13" s="5" customFormat="1" ht="22.9" customHeight="1" x14ac:dyDescent="0.2">
      <c r="A1389" s="30" t="s">
        <v>594</v>
      </c>
      <c r="B1389" s="31" t="s">
        <v>8</v>
      </c>
      <c r="C1389" s="58" t="s">
        <v>596</v>
      </c>
      <c r="D1389" s="32" t="s">
        <v>595</v>
      </c>
      <c r="E1389" s="31"/>
      <c r="F1389" s="49">
        <f>F1390+F1392</f>
        <v>732.2</v>
      </c>
      <c r="G1389" s="49">
        <f>G1390+G1392</f>
        <v>542.4</v>
      </c>
      <c r="H1389" s="258">
        <f t="shared" si="163"/>
        <v>0.7407812073204042</v>
      </c>
      <c r="I1389" s="124"/>
      <c r="J1389" s="124"/>
      <c r="K1389" s="124"/>
      <c r="L1389" s="125"/>
      <c r="M1389" s="125"/>
    </row>
    <row r="1390" spans="1:13" s="5" customFormat="1" ht="31.5" hidden="1" x14ac:dyDescent="0.2">
      <c r="A1390" s="81" t="s">
        <v>25</v>
      </c>
      <c r="B1390" s="31" t="s">
        <v>8</v>
      </c>
      <c r="C1390" s="58" t="s">
        <v>596</v>
      </c>
      <c r="D1390" s="32" t="s">
        <v>593</v>
      </c>
      <c r="E1390" s="31" t="s">
        <v>36</v>
      </c>
      <c r="F1390" s="49">
        <f>F1391</f>
        <v>0</v>
      </c>
      <c r="G1390" s="49">
        <f>G1391</f>
        <v>0</v>
      </c>
      <c r="H1390" s="258" t="e">
        <f t="shared" si="163"/>
        <v>#DIV/0!</v>
      </c>
      <c r="I1390" s="124"/>
      <c r="J1390" s="124"/>
      <c r="K1390" s="124"/>
      <c r="L1390" s="125"/>
      <c r="M1390" s="125"/>
    </row>
    <row r="1391" spans="1:13" s="28" customFormat="1" ht="31.5" hidden="1" x14ac:dyDescent="0.2">
      <c r="A1391" s="81" t="s">
        <v>26</v>
      </c>
      <c r="B1391" s="31" t="s">
        <v>8</v>
      </c>
      <c r="C1391" s="58" t="s">
        <v>596</v>
      </c>
      <c r="D1391" s="32" t="s">
        <v>593</v>
      </c>
      <c r="E1391" s="31" t="s">
        <v>37</v>
      </c>
      <c r="F1391" s="49">
        <f>5917-5917</f>
        <v>0</v>
      </c>
      <c r="G1391" s="49">
        <f>5917-5917</f>
        <v>0</v>
      </c>
      <c r="H1391" s="258" t="e">
        <f t="shared" si="163"/>
        <v>#DIV/0!</v>
      </c>
      <c r="I1391" s="124"/>
      <c r="J1391" s="124"/>
      <c r="K1391" s="124"/>
      <c r="L1391" s="125"/>
      <c r="M1391" s="125"/>
    </row>
    <row r="1392" spans="1:13" s="5" customFormat="1" ht="31.5" x14ac:dyDescent="0.2">
      <c r="A1392" s="43" t="s">
        <v>25</v>
      </c>
      <c r="B1392" s="31" t="s">
        <v>8</v>
      </c>
      <c r="C1392" s="58" t="s">
        <v>596</v>
      </c>
      <c r="D1392" s="32" t="s">
        <v>595</v>
      </c>
      <c r="E1392" s="31" t="s">
        <v>36</v>
      </c>
      <c r="F1392" s="49">
        <f>F1393</f>
        <v>732.2</v>
      </c>
      <c r="G1392" s="49">
        <f>G1393</f>
        <v>542.4</v>
      </c>
      <c r="H1392" s="258">
        <f t="shared" si="163"/>
        <v>0.7407812073204042</v>
      </c>
      <c r="I1392" s="124"/>
      <c r="J1392" s="124"/>
      <c r="K1392" s="124"/>
      <c r="L1392" s="125"/>
      <c r="M1392" s="125"/>
    </row>
    <row r="1393" spans="1:13" s="5" customFormat="1" ht="31.5" x14ac:dyDescent="0.2">
      <c r="A1393" s="43" t="s">
        <v>26</v>
      </c>
      <c r="B1393" s="31" t="s">
        <v>8</v>
      </c>
      <c r="C1393" s="58" t="s">
        <v>596</v>
      </c>
      <c r="D1393" s="32" t="s">
        <v>595</v>
      </c>
      <c r="E1393" s="31" t="s">
        <v>37</v>
      </c>
      <c r="F1393" s="49">
        <v>732.2</v>
      </c>
      <c r="G1393" s="49">
        <v>542.4</v>
      </c>
      <c r="H1393" s="258">
        <f t="shared" si="163"/>
        <v>0.7407812073204042</v>
      </c>
      <c r="I1393" s="124"/>
      <c r="J1393" s="124"/>
      <c r="K1393" s="124"/>
      <c r="L1393" s="125"/>
      <c r="M1393" s="125"/>
    </row>
    <row r="1394" spans="1:13" s="60" customFormat="1" x14ac:dyDescent="0.2">
      <c r="A1394" s="237" t="s">
        <v>197</v>
      </c>
      <c r="B1394" s="53" t="s">
        <v>619</v>
      </c>
      <c r="C1394" s="53" t="s">
        <v>596</v>
      </c>
      <c r="D1394" s="54" t="s">
        <v>198</v>
      </c>
      <c r="E1394" s="53"/>
      <c r="F1394" s="239">
        <f>F1395+F1402</f>
        <v>220</v>
      </c>
      <c r="G1394" s="239">
        <f>G1395+G1402</f>
        <v>220</v>
      </c>
      <c r="H1394" s="258">
        <f t="shared" si="163"/>
        <v>1</v>
      </c>
      <c r="I1394" s="228"/>
      <c r="J1394" s="228"/>
      <c r="K1394" s="228"/>
      <c r="L1394"/>
      <c r="M1394"/>
    </row>
    <row r="1395" spans="1:13" s="5" customFormat="1" ht="31.5" x14ac:dyDescent="0.2">
      <c r="A1395" s="224" t="s">
        <v>478</v>
      </c>
      <c r="B1395" s="31" t="s">
        <v>619</v>
      </c>
      <c r="C1395" s="31" t="s">
        <v>596</v>
      </c>
      <c r="D1395" s="32" t="s">
        <v>481</v>
      </c>
      <c r="E1395" s="31"/>
      <c r="F1395" s="88">
        <f>F1396</f>
        <v>160</v>
      </c>
      <c r="G1395" s="88">
        <f>G1396</f>
        <v>160</v>
      </c>
      <c r="H1395" s="258">
        <f t="shared" si="163"/>
        <v>1</v>
      </c>
      <c r="I1395" s="228"/>
      <c r="J1395" s="228"/>
      <c r="K1395" s="228"/>
      <c r="L1395"/>
      <c r="M1395"/>
    </row>
    <row r="1396" spans="1:13" s="5" customFormat="1" x14ac:dyDescent="0.2">
      <c r="A1396" s="89" t="s">
        <v>782</v>
      </c>
      <c r="B1396" s="31" t="s">
        <v>619</v>
      </c>
      <c r="C1396" s="31" t="s">
        <v>596</v>
      </c>
      <c r="D1396" s="32" t="s">
        <v>481</v>
      </c>
      <c r="E1396" s="31"/>
      <c r="F1396" s="29">
        <f>F1400</f>
        <v>160</v>
      </c>
      <c r="G1396" s="29">
        <f>G1400</f>
        <v>160</v>
      </c>
      <c r="H1396" s="258">
        <f t="shared" si="163"/>
        <v>1</v>
      </c>
      <c r="I1396" s="228"/>
      <c r="J1396" s="228"/>
      <c r="K1396" s="228"/>
      <c r="L1396"/>
      <c r="M1396"/>
    </row>
    <row r="1397" spans="1:13" s="5" customFormat="1" ht="47.25" hidden="1" x14ac:dyDescent="0.2">
      <c r="A1397" s="89" t="s">
        <v>616</v>
      </c>
      <c r="B1397" s="31" t="s">
        <v>8</v>
      </c>
      <c r="C1397" s="31" t="s">
        <v>596</v>
      </c>
      <c r="D1397" s="32" t="s">
        <v>783</v>
      </c>
      <c r="E1397" s="31"/>
      <c r="F1397" s="29">
        <f>F1398</f>
        <v>0</v>
      </c>
      <c r="G1397" s="29">
        <f>G1398</f>
        <v>0</v>
      </c>
      <c r="H1397" s="258" t="e">
        <f t="shared" si="163"/>
        <v>#DIV/0!</v>
      </c>
      <c r="I1397" s="228"/>
      <c r="J1397" s="228"/>
      <c r="K1397" s="228"/>
      <c r="L1397"/>
      <c r="M1397"/>
    </row>
    <row r="1398" spans="1:13" s="5" customFormat="1" ht="31.5" hidden="1" x14ac:dyDescent="0.2">
      <c r="A1398" s="89" t="s">
        <v>150</v>
      </c>
      <c r="B1398" s="31" t="s">
        <v>8</v>
      </c>
      <c r="C1398" s="31" t="s">
        <v>596</v>
      </c>
      <c r="D1398" s="32" t="s">
        <v>783</v>
      </c>
      <c r="E1398" s="31" t="s">
        <v>151</v>
      </c>
      <c r="F1398" s="29">
        <f>F1399</f>
        <v>0</v>
      </c>
      <c r="G1398" s="29">
        <f>G1399</f>
        <v>0</v>
      </c>
      <c r="H1398" s="258" t="e">
        <f t="shared" si="163"/>
        <v>#DIV/0!</v>
      </c>
      <c r="I1398" s="228"/>
      <c r="J1398" s="228"/>
      <c r="K1398" s="228"/>
      <c r="L1398"/>
      <c r="M1398"/>
    </row>
    <row r="1399" spans="1:13" s="5" customFormat="1" ht="15.75" hidden="1" customHeight="1" x14ac:dyDescent="0.2">
      <c r="A1399" s="89" t="s">
        <v>192</v>
      </c>
      <c r="B1399" s="31" t="s">
        <v>8</v>
      </c>
      <c r="C1399" s="31" t="s">
        <v>596</v>
      </c>
      <c r="D1399" s="32" t="s">
        <v>783</v>
      </c>
      <c r="E1399" s="31" t="s">
        <v>193</v>
      </c>
      <c r="F1399" s="29">
        <v>0</v>
      </c>
      <c r="G1399" s="29">
        <v>0</v>
      </c>
      <c r="H1399" s="258" t="e">
        <f t="shared" si="163"/>
        <v>#DIV/0!</v>
      </c>
      <c r="I1399" s="228"/>
      <c r="J1399" s="228"/>
      <c r="K1399" s="228"/>
      <c r="L1399"/>
      <c r="M1399"/>
    </row>
    <row r="1400" spans="1:13" s="5" customFormat="1" ht="31.5" x14ac:dyDescent="0.2">
      <c r="A1400" s="43" t="s">
        <v>25</v>
      </c>
      <c r="B1400" s="31" t="s">
        <v>619</v>
      </c>
      <c r="C1400" s="31" t="s">
        <v>596</v>
      </c>
      <c r="D1400" s="32" t="s">
        <v>481</v>
      </c>
      <c r="E1400" s="31" t="s">
        <v>36</v>
      </c>
      <c r="F1400" s="29">
        <f>F1401</f>
        <v>160</v>
      </c>
      <c r="G1400" s="29">
        <f>G1401</f>
        <v>160</v>
      </c>
      <c r="H1400" s="258">
        <f t="shared" si="163"/>
        <v>1</v>
      </c>
      <c r="I1400" s="228"/>
      <c r="J1400" s="228"/>
      <c r="K1400" s="228"/>
      <c r="L1400"/>
      <c r="M1400"/>
    </row>
    <row r="1401" spans="1:13" s="5" customFormat="1" ht="31.5" x14ac:dyDescent="0.2">
      <c r="A1401" s="43" t="s">
        <v>26</v>
      </c>
      <c r="B1401" s="31" t="s">
        <v>619</v>
      </c>
      <c r="C1401" s="31" t="s">
        <v>596</v>
      </c>
      <c r="D1401" s="32" t="s">
        <v>481</v>
      </c>
      <c r="E1401" s="31" t="s">
        <v>37</v>
      </c>
      <c r="F1401" s="29">
        <v>160</v>
      </c>
      <c r="G1401" s="29">
        <v>160</v>
      </c>
      <c r="H1401" s="258">
        <f t="shared" si="163"/>
        <v>1</v>
      </c>
      <c r="I1401" s="228"/>
      <c r="J1401" s="228"/>
      <c r="K1401" s="228"/>
      <c r="L1401"/>
      <c r="M1401"/>
    </row>
    <row r="1402" spans="1:13" s="91" customFormat="1" ht="46.15" customHeight="1" x14ac:dyDescent="0.2">
      <c r="A1402" s="238" t="s">
        <v>779</v>
      </c>
      <c r="B1402" s="68" t="s">
        <v>619</v>
      </c>
      <c r="C1402" s="68" t="s">
        <v>596</v>
      </c>
      <c r="D1402" s="128" t="s">
        <v>609</v>
      </c>
      <c r="E1402" s="68"/>
      <c r="F1402" s="129">
        <f t="shared" ref="F1402:G1405" si="165">F1403</f>
        <v>60</v>
      </c>
      <c r="G1402" s="129">
        <f t="shared" si="165"/>
        <v>60</v>
      </c>
      <c r="H1402" s="258">
        <f t="shared" si="163"/>
        <v>1</v>
      </c>
      <c r="I1402" s="228"/>
      <c r="J1402" s="228"/>
      <c r="K1402" s="228"/>
      <c r="L1402"/>
      <c r="M1402"/>
    </row>
    <row r="1403" spans="1:13" s="56" customFormat="1" ht="23.45" customHeight="1" x14ac:dyDescent="0.2">
      <c r="A1403" s="139" t="s">
        <v>610</v>
      </c>
      <c r="B1403" s="58" t="s">
        <v>619</v>
      </c>
      <c r="C1403" s="58" t="s">
        <v>596</v>
      </c>
      <c r="D1403" s="59" t="s">
        <v>611</v>
      </c>
      <c r="E1403" s="58"/>
      <c r="F1403" s="49">
        <f t="shared" si="165"/>
        <v>60</v>
      </c>
      <c r="G1403" s="49">
        <f t="shared" si="165"/>
        <v>60</v>
      </c>
      <c r="H1403" s="258">
        <f t="shared" si="163"/>
        <v>1</v>
      </c>
      <c r="I1403" s="228"/>
      <c r="J1403" s="228"/>
      <c r="K1403" s="228"/>
      <c r="L1403"/>
      <c r="M1403"/>
    </row>
    <row r="1404" spans="1:13" s="56" customFormat="1" ht="31.5" x14ac:dyDescent="0.2">
      <c r="A1404" s="139" t="s">
        <v>784</v>
      </c>
      <c r="B1404" s="58" t="s">
        <v>619</v>
      </c>
      <c r="C1404" s="58" t="s">
        <v>596</v>
      </c>
      <c r="D1404" s="59" t="s">
        <v>785</v>
      </c>
      <c r="E1404" s="58"/>
      <c r="F1404" s="49">
        <f t="shared" si="165"/>
        <v>60</v>
      </c>
      <c r="G1404" s="49">
        <f t="shared" si="165"/>
        <v>60</v>
      </c>
      <c r="H1404" s="258">
        <f t="shared" si="163"/>
        <v>1</v>
      </c>
      <c r="I1404" s="228"/>
      <c r="J1404" s="228"/>
      <c r="K1404" s="228"/>
      <c r="L1404"/>
      <c r="M1404"/>
    </row>
    <row r="1405" spans="1:13" s="56" customFormat="1" ht="15.75" customHeight="1" x14ac:dyDescent="0.2">
      <c r="A1405" s="57" t="s">
        <v>25</v>
      </c>
      <c r="B1405" s="58" t="s">
        <v>619</v>
      </c>
      <c r="C1405" s="58" t="s">
        <v>596</v>
      </c>
      <c r="D1405" s="59" t="s">
        <v>785</v>
      </c>
      <c r="E1405" s="58" t="s">
        <v>36</v>
      </c>
      <c r="F1405" s="49">
        <f t="shared" si="165"/>
        <v>60</v>
      </c>
      <c r="G1405" s="49">
        <f t="shared" si="165"/>
        <v>60</v>
      </c>
      <c r="H1405" s="258">
        <f t="shared" si="163"/>
        <v>1</v>
      </c>
      <c r="I1405" s="228"/>
      <c r="J1405" s="228"/>
      <c r="K1405" s="228"/>
      <c r="L1405"/>
      <c r="M1405"/>
    </row>
    <row r="1406" spans="1:13" s="56" customFormat="1" ht="31.5" x14ac:dyDescent="0.2">
      <c r="A1406" s="57" t="s">
        <v>26</v>
      </c>
      <c r="B1406" s="58" t="s">
        <v>619</v>
      </c>
      <c r="C1406" s="58" t="s">
        <v>596</v>
      </c>
      <c r="D1406" s="59" t="s">
        <v>785</v>
      </c>
      <c r="E1406" s="58" t="s">
        <v>37</v>
      </c>
      <c r="F1406" s="49">
        <v>60</v>
      </c>
      <c r="G1406" s="49">
        <v>60</v>
      </c>
      <c r="H1406" s="258">
        <f t="shared" si="163"/>
        <v>1</v>
      </c>
      <c r="I1406" s="228"/>
      <c r="J1406" s="228"/>
      <c r="K1406" s="228"/>
      <c r="L1406"/>
      <c r="M1406"/>
    </row>
    <row r="1407" spans="1:13" s="91" customFormat="1" x14ac:dyDescent="0.2">
      <c r="A1407" s="225" t="s">
        <v>597</v>
      </c>
      <c r="B1407" s="121" t="s">
        <v>619</v>
      </c>
      <c r="C1407" s="121" t="s">
        <v>598</v>
      </c>
      <c r="D1407" s="59"/>
      <c r="E1407" s="59"/>
      <c r="F1407" s="50">
        <f>F1408+F1423</f>
        <v>128.82999999999998</v>
      </c>
      <c r="G1407" s="50">
        <f>G1408+G1423</f>
        <v>42.33</v>
      </c>
      <c r="H1407" s="258">
        <f t="shared" si="163"/>
        <v>0.32857253745245674</v>
      </c>
      <c r="I1407" s="228"/>
      <c r="J1407" s="228"/>
      <c r="K1407" s="228"/>
      <c r="L1407"/>
      <c r="M1407"/>
    </row>
    <row r="1408" spans="1:13" s="113" customFormat="1" ht="47.25" x14ac:dyDescent="0.2">
      <c r="A1408" s="92" t="s">
        <v>576</v>
      </c>
      <c r="B1408" s="93" t="s">
        <v>619</v>
      </c>
      <c r="C1408" s="93" t="s">
        <v>598</v>
      </c>
      <c r="D1408" s="94" t="s">
        <v>577</v>
      </c>
      <c r="E1408" s="93"/>
      <c r="F1408" s="137">
        <f t="shared" ref="F1408:G1410" si="166">F1409</f>
        <v>120.8</v>
      </c>
      <c r="G1408" s="137">
        <f t="shared" si="166"/>
        <v>42.3</v>
      </c>
      <c r="H1408" s="258">
        <f t="shared" si="163"/>
        <v>0.35016556291390727</v>
      </c>
      <c r="I1408" s="228"/>
      <c r="J1408" s="228"/>
      <c r="K1408" s="228"/>
      <c r="L1408"/>
      <c r="M1408"/>
    </row>
    <row r="1409" spans="1:13" s="113" customFormat="1" ht="33.6" customHeight="1" x14ac:dyDescent="0.2">
      <c r="A1409" s="112" t="s">
        <v>786</v>
      </c>
      <c r="B1409" s="100" t="s">
        <v>619</v>
      </c>
      <c r="C1409" s="100" t="s">
        <v>598</v>
      </c>
      <c r="D1409" s="101" t="s">
        <v>787</v>
      </c>
      <c r="E1409" s="100"/>
      <c r="F1409" s="176">
        <f t="shared" si="166"/>
        <v>120.8</v>
      </c>
      <c r="G1409" s="176">
        <f t="shared" si="166"/>
        <v>42.3</v>
      </c>
      <c r="H1409" s="258">
        <f t="shared" si="163"/>
        <v>0.35016556291390727</v>
      </c>
      <c r="I1409" s="228"/>
      <c r="J1409" s="228"/>
      <c r="K1409" s="228"/>
      <c r="L1409"/>
      <c r="M1409"/>
    </row>
    <row r="1410" spans="1:13" s="113" customFormat="1" ht="159.6" customHeight="1" x14ac:dyDescent="0.2">
      <c r="A1410" s="196" t="s">
        <v>788</v>
      </c>
      <c r="B1410" s="100" t="s">
        <v>619</v>
      </c>
      <c r="C1410" s="100" t="s">
        <v>598</v>
      </c>
      <c r="D1410" s="101" t="s">
        <v>789</v>
      </c>
      <c r="E1410" s="100"/>
      <c r="F1410" s="176">
        <f t="shared" si="166"/>
        <v>120.8</v>
      </c>
      <c r="G1410" s="176">
        <f t="shared" si="166"/>
        <v>42.3</v>
      </c>
      <c r="H1410" s="258">
        <f t="shared" si="163"/>
        <v>0.35016556291390727</v>
      </c>
      <c r="I1410" s="228"/>
      <c r="J1410" s="228"/>
      <c r="K1410" s="228"/>
      <c r="L1410"/>
      <c r="M1410"/>
    </row>
    <row r="1411" spans="1:13" s="113" customFormat="1" ht="173.25" x14ac:dyDescent="0.2">
      <c r="A1411" s="196" t="s">
        <v>790</v>
      </c>
      <c r="B1411" s="100" t="s">
        <v>619</v>
      </c>
      <c r="C1411" s="100" t="s">
        <v>598</v>
      </c>
      <c r="D1411" s="101" t="s">
        <v>791</v>
      </c>
      <c r="E1411" s="100"/>
      <c r="F1411" s="176">
        <f>F1412+F1414</f>
        <v>120.8</v>
      </c>
      <c r="G1411" s="176">
        <f>G1412+G1414</f>
        <v>42.3</v>
      </c>
      <c r="H1411" s="258">
        <f t="shared" si="163"/>
        <v>0.35016556291390727</v>
      </c>
      <c r="I1411" s="228"/>
      <c r="J1411" s="228"/>
      <c r="K1411" s="228"/>
      <c r="L1411"/>
      <c r="M1411"/>
    </row>
    <row r="1412" spans="1:13" s="113" customFormat="1" ht="63" customHeight="1" x14ac:dyDescent="0.2">
      <c r="A1412" s="175" t="s">
        <v>23</v>
      </c>
      <c r="B1412" s="100" t="s">
        <v>619</v>
      </c>
      <c r="C1412" s="100" t="s">
        <v>598</v>
      </c>
      <c r="D1412" s="101" t="s">
        <v>791</v>
      </c>
      <c r="E1412" s="100" t="s">
        <v>43</v>
      </c>
      <c r="F1412" s="176">
        <f>F1413</f>
        <v>106.8</v>
      </c>
      <c r="G1412" s="176">
        <f>G1413</f>
        <v>42.3</v>
      </c>
      <c r="H1412" s="258">
        <f t="shared" si="163"/>
        <v>0.39606741573033705</v>
      </c>
      <c r="I1412" s="228"/>
      <c r="J1412" s="228"/>
      <c r="K1412" s="228"/>
      <c r="L1412"/>
      <c r="M1412"/>
    </row>
    <row r="1413" spans="1:13" s="113" customFormat="1" x14ac:dyDescent="0.2">
      <c r="A1413" s="175" t="s">
        <v>142</v>
      </c>
      <c r="B1413" s="100" t="s">
        <v>619</v>
      </c>
      <c r="C1413" s="100" t="s">
        <v>598</v>
      </c>
      <c r="D1413" s="101" t="s">
        <v>791</v>
      </c>
      <c r="E1413" s="100" t="s">
        <v>143</v>
      </c>
      <c r="F1413" s="176">
        <f>15-15+15.6+91.2</f>
        <v>106.8</v>
      </c>
      <c r="G1413" s="176">
        <v>42.3</v>
      </c>
      <c r="H1413" s="258">
        <f t="shared" si="163"/>
        <v>0.39606741573033705</v>
      </c>
      <c r="I1413" s="228"/>
      <c r="J1413" s="228"/>
      <c r="K1413" s="228"/>
      <c r="L1413"/>
      <c r="M1413"/>
    </row>
    <row r="1414" spans="1:13" s="113" customFormat="1" ht="31.5" x14ac:dyDescent="0.2">
      <c r="A1414" s="175" t="s">
        <v>25</v>
      </c>
      <c r="B1414" s="100" t="s">
        <v>619</v>
      </c>
      <c r="C1414" s="100" t="s">
        <v>598</v>
      </c>
      <c r="D1414" s="101" t="s">
        <v>791</v>
      </c>
      <c r="E1414" s="100" t="s">
        <v>36</v>
      </c>
      <c r="F1414" s="176">
        <f>F1415</f>
        <v>14</v>
      </c>
      <c r="G1414" s="176">
        <f>G1415</f>
        <v>0</v>
      </c>
      <c r="H1414" s="258">
        <f t="shared" si="163"/>
        <v>0</v>
      </c>
      <c r="I1414" s="228"/>
      <c r="J1414" s="228"/>
      <c r="K1414" s="228"/>
      <c r="L1414"/>
      <c r="M1414"/>
    </row>
    <row r="1415" spans="1:13" s="113" customFormat="1" ht="31.5" x14ac:dyDescent="0.2">
      <c r="A1415" s="175" t="s">
        <v>26</v>
      </c>
      <c r="B1415" s="100" t="s">
        <v>619</v>
      </c>
      <c r="C1415" s="100" t="s">
        <v>598</v>
      </c>
      <c r="D1415" s="101" t="s">
        <v>791</v>
      </c>
      <c r="E1415" s="100" t="s">
        <v>37</v>
      </c>
      <c r="F1415" s="176">
        <v>14</v>
      </c>
      <c r="G1415" s="176">
        <v>0</v>
      </c>
      <c r="H1415" s="258">
        <f t="shared" si="163"/>
        <v>0</v>
      </c>
      <c r="I1415" s="228"/>
      <c r="J1415" s="228"/>
      <c r="K1415" s="228"/>
      <c r="L1415"/>
      <c r="M1415"/>
    </row>
    <row r="1416" spans="1:13" s="113" customFormat="1" hidden="1" x14ac:dyDescent="0.2">
      <c r="A1416" s="175" t="s">
        <v>27</v>
      </c>
      <c r="B1416" s="100" t="s">
        <v>619</v>
      </c>
      <c r="C1416" s="100" t="s">
        <v>598</v>
      </c>
      <c r="D1416" s="101" t="s">
        <v>605</v>
      </c>
      <c r="E1416" s="100" t="s">
        <v>155</v>
      </c>
      <c r="F1416" s="176">
        <f>F1417</f>
        <v>0</v>
      </c>
      <c r="G1416" s="176">
        <f>G1417</f>
        <v>0</v>
      </c>
      <c r="H1416" s="258" t="e">
        <f t="shared" si="163"/>
        <v>#DIV/0!</v>
      </c>
      <c r="I1416" s="228"/>
      <c r="J1416" s="228"/>
      <c r="K1416" s="228"/>
      <c r="L1416"/>
      <c r="M1416"/>
    </row>
    <row r="1417" spans="1:13" s="113" customFormat="1" hidden="1" x14ac:dyDescent="0.2">
      <c r="A1417" s="175" t="s">
        <v>156</v>
      </c>
      <c r="B1417" s="100" t="s">
        <v>619</v>
      </c>
      <c r="C1417" s="100" t="s">
        <v>598</v>
      </c>
      <c r="D1417" s="101" t="s">
        <v>605</v>
      </c>
      <c r="E1417" s="100" t="s">
        <v>157</v>
      </c>
      <c r="F1417" s="176">
        <f>47.3-47.3</f>
        <v>0</v>
      </c>
      <c r="G1417" s="176">
        <f>47.3-47.3</f>
        <v>0</v>
      </c>
      <c r="H1417" s="258" t="e">
        <f t="shared" si="163"/>
        <v>#DIV/0!</v>
      </c>
      <c r="I1417" s="228"/>
      <c r="J1417" s="228"/>
      <c r="K1417" s="228"/>
      <c r="L1417"/>
      <c r="M1417"/>
    </row>
    <row r="1418" spans="1:13" s="113" customFormat="1" hidden="1" x14ac:dyDescent="0.2">
      <c r="A1418" s="81" t="s">
        <v>29</v>
      </c>
      <c r="B1418" s="100" t="s">
        <v>619</v>
      </c>
      <c r="C1418" s="100" t="s">
        <v>598</v>
      </c>
      <c r="D1418" s="101" t="s">
        <v>605</v>
      </c>
      <c r="E1418" s="31" t="s">
        <v>130</v>
      </c>
      <c r="F1418" s="176">
        <f>F1419</f>
        <v>0</v>
      </c>
      <c r="G1418" s="176">
        <f>G1419</f>
        <v>0</v>
      </c>
      <c r="H1418" s="258" t="e">
        <f t="shared" si="163"/>
        <v>#DIV/0!</v>
      </c>
      <c r="I1418" s="228"/>
      <c r="J1418" s="228"/>
      <c r="K1418" s="228"/>
      <c r="L1418"/>
      <c r="M1418"/>
    </row>
    <row r="1419" spans="1:13" s="113" customFormat="1" hidden="1" x14ac:dyDescent="0.2">
      <c r="A1419" s="81" t="s">
        <v>50</v>
      </c>
      <c r="B1419" s="100" t="s">
        <v>619</v>
      </c>
      <c r="C1419" s="100" t="s">
        <v>598</v>
      </c>
      <c r="D1419" s="101" t="s">
        <v>605</v>
      </c>
      <c r="E1419" s="31" t="s">
        <v>277</v>
      </c>
      <c r="F1419" s="176">
        <f>34.5-34.5</f>
        <v>0</v>
      </c>
      <c r="G1419" s="176">
        <f>34.5-34.5</f>
        <v>0</v>
      </c>
      <c r="H1419" s="258" t="e">
        <f t="shared" si="163"/>
        <v>#DIV/0!</v>
      </c>
      <c r="I1419" s="228"/>
      <c r="J1419" s="228"/>
      <c r="K1419" s="228"/>
      <c r="L1419"/>
      <c r="M1419"/>
    </row>
    <row r="1420" spans="1:13" s="113" customFormat="1" ht="31.5" hidden="1" x14ac:dyDescent="0.2">
      <c r="A1420" s="81" t="s">
        <v>792</v>
      </c>
      <c r="B1420" s="100" t="s">
        <v>619</v>
      </c>
      <c r="C1420" s="100" t="s">
        <v>598</v>
      </c>
      <c r="D1420" s="101" t="s">
        <v>793</v>
      </c>
      <c r="E1420" s="31"/>
      <c r="F1420" s="176">
        <f>F1421</f>
        <v>0</v>
      </c>
      <c r="G1420" s="176">
        <f>G1421</f>
        <v>0</v>
      </c>
      <c r="H1420" s="258" t="e">
        <f t="shared" si="163"/>
        <v>#DIV/0!</v>
      </c>
      <c r="I1420" s="228"/>
      <c r="J1420" s="228"/>
      <c r="K1420" s="228"/>
      <c r="L1420"/>
      <c r="M1420"/>
    </row>
    <row r="1421" spans="1:13" s="113" customFormat="1" ht="31.5" hidden="1" x14ac:dyDescent="0.2">
      <c r="A1421" s="175" t="s">
        <v>25</v>
      </c>
      <c r="B1421" s="100" t="s">
        <v>619</v>
      </c>
      <c r="C1421" s="100" t="s">
        <v>598</v>
      </c>
      <c r="D1421" s="101" t="s">
        <v>793</v>
      </c>
      <c r="E1421" s="31" t="s">
        <v>36</v>
      </c>
      <c r="F1421" s="176">
        <f>F1422</f>
        <v>0</v>
      </c>
      <c r="G1421" s="176">
        <f>G1422</f>
        <v>0</v>
      </c>
      <c r="H1421" s="258" t="e">
        <f t="shared" si="163"/>
        <v>#DIV/0!</v>
      </c>
      <c r="I1421" s="228"/>
      <c r="J1421" s="228"/>
      <c r="K1421" s="228"/>
      <c r="L1421"/>
      <c r="M1421"/>
    </row>
    <row r="1422" spans="1:13" s="113" customFormat="1" ht="31.5" hidden="1" x14ac:dyDescent="0.2">
      <c r="A1422" s="175" t="s">
        <v>26</v>
      </c>
      <c r="B1422" s="100" t="s">
        <v>619</v>
      </c>
      <c r="C1422" s="100" t="s">
        <v>598</v>
      </c>
      <c r="D1422" s="101" t="s">
        <v>793</v>
      </c>
      <c r="E1422" s="31" t="s">
        <v>37</v>
      </c>
      <c r="F1422" s="176"/>
      <c r="G1422" s="176"/>
      <c r="H1422" s="258" t="e">
        <f t="shared" si="163"/>
        <v>#DIV/0!</v>
      </c>
      <c r="I1422" s="228"/>
      <c r="J1422" s="228"/>
      <c r="K1422" s="228"/>
      <c r="L1422"/>
      <c r="M1422"/>
    </row>
    <row r="1423" spans="1:13" s="102" customFormat="1" x14ac:dyDescent="0.2">
      <c r="A1423" s="237" t="s">
        <v>197</v>
      </c>
      <c r="B1423" s="53" t="s">
        <v>619</v>
      </c>
      <c r="C1423" s="53" t="s">
        <v>598</v>
      </c>
      <c r="D1423" s="54" t="s">
        <v>198</v>
      </c>
      <c r="E1423" s="15"/>
      <c r="F1423" s="137">
        <f t="shared" ref="F1423:G1425" si="167">F1424</f>
        <v>8.0300000000000011</v>
      </c>
      <c r="G1423" s="137">
        <f t="shared" si="167"/>
        <v>3.0000000000000249E-2</v>
      </c>
      <c r="H1423" s="258">
        <f t="shared" si="163"/>
        <v>3.7359900373599309E-3</v>
      </c>
      <c r="I1423" s="228"/>
      <c r="J1423" s="228"/>
      <c r="K1423" s="228"/>
      <c r="L1423"/>
      <c r="M1423"/>
    </row>
    <row r="1424" spans="1:13" s="91" customFormat="1" ht="46.15" customHeight="1" x14ac:dyDescent="0.2">
      <c r="A1424" s="238" t="s">
        <v>779</v>
      </c>
      <c r="B1424" s="68" t="s">
        <v>619</v>
      </c>
      <c r="C1424" s="68" t="s">
        <v>598</v>
      </c>
      <c r="D1424" s="128" t="s">
        <v>609</v>
      </c>
      <c r="E1424" s="68"/>
      <c r="F1424" s="129">
        <f t="shared" si="167"/>
        <v>8.0300000000000011</v>
      </c>
      <c r="G1424" s="129">
        <f t="shared" si="167"/>
        <v>3.0000000000000249E-2</v>
      </c>
      <c r="H1424" s="258">
        <f t="shared" si="163"/>
        <v>3.7359900373599309E-3</v>
      </c>
      <c r="I1424" s="228"/>
      <c r="J1424" s="228"/>
      <c r="K1424" s="228"/>
      <c r="L1424"/>
      <c r="M1424"/>
    </row>
    <row r="1425" spans="1:13" s="91" customFormat="1" ht="63" x14ac:dyDescent="0.2">
      <c r="A1425" s="155" t="s">
        <v>606</v>
      </c>
      <c r="B1425" s="58" t="s">
        <v>619</v>
      </c>
      <c r="C1425" s="58" t="s">
        <v>598</v>
      </c>
      <c r="D1425" s="59" t="s">
        <v>794</v>
      </c>
      <c r="E1425" s="58"/>
      <c r="F1425" s="82">
        <f t="shared" si="167"/>
        <v>8.0300000000000011</v>
      </c>
      <c r="G1425" s="82">
        <f t="shared" si="167"/>
        <v>3.0000000000000249E-2</v>
      </c>
      <c r="H1425" s="258">
        <f t="shared" si="163"/>
        <v>3.7359900373599309E-3</v>
      </c>
      <c r="I1425" s="228"/>
      <c r="J1425" s="228"/>
      <c r="K1425" s="228"/>
      <c r="L1425"/>
      <c r="M1425"/>
    </row>
    <row r="1426" spans="1:13" s="208" customFormat="1" ht="49.9" customHeight="1" x14ac:dyDescent="0.2">
      <c r="A1426" s="155" t="s">
        <v>606</v>
      </c>
      <c r="B1426" s="58" t="s">
        <v>619</v>
      </c>
      <c r="C1426" s="58" t="s">
        <v>598</v>
      </c>
      <c r="D1426" s="59" t="s">
        <v>795</v>
      </c>
      <c r="E1426" s="58"/>
      <c r="F1426" s="82">
        <f>F1427+F1429+F1431+F1249+F1433</f>
        <v>8.0300000000000011</v>
      </c>
      <c r="G1426" s="82">
        <f>G1427+G1429+G1431+G1249+G1433</f>
        <v>3.0000000000000249E-2</v>
      </c>
      <c r="H1426" s="258">
        <f t="shared" si="163"/>
        <v>3.7359900373599309E-3</v>
      </c>
      <c r="I1426" s="228"/>
      <c r="J1426" s="228"/>
      <c r="K1426" s="228"/>
      <c r="L1426"/>
      <c r="M1426"/>
    </row>
    <row r="1427" spans="1:13" s="208" customFormat="1" ht="67.150000000000006" customHeight="1" x14ac:dyDescent="0.2">
      <c r="A1427" s="155" t="s">
        <v>23</v>
      </c>
      <c r="B1427" s="58" t="s">
        <v>619</v>
      </c>
      <c r="C1427" s="58" t="s">
        <v>598</v>
      </c>
      <c r="D1427" s="59" t="s">
        <v>795</v>
      </c>
      <c r="E1427" s="58" t="s">
        <v>43</v>
      </c>
      <c r="F1427" s="82">
        <f>F1428</f>
        <v>4.7</v>
      </c>
      <c r="G1427" s="82">
        <f>G1428</f>
        <v>0</v>
      </c>
      <c r="H1427" s="258">
        <f t="shared" si="163"/>
        <v>0</v>
      </c>
      <c r="I1427" s="228"/>
      <c r="J1427" s="228"/>
      <c r="K1427" s="228"/>
      <c r="L1427"/>
      <c r="M1427"/>
    </row>
    <row r="1428" spans="1:13" s="208" customFormat="1" x14ac:dyDescent="0.2">
      <c r="A1428" s="155" t="s">
        <v>142</v>
      </c>
      <c r="B1428" s="58" t="s">
        <v>619</v>
      </c>
      <c r="C1428" s="58" t="s">
        <v>598</v>
      </c>
      <c r="D1428" s="59" t="s">
        <v>795</v>
      </c>
      <c r="E1428" s="58" t="s">
        <v>143</v>
      </c>
      <c r="F1428" s="82">
        <v>4.7</v>
      </c>
      <c r="G1428" s="82">
        <v>0</v>
      </c>
      <c r="H1428" s="258">
        <f t="shared" si="163"/>
        <v>0</v>
      </c>
      <c r="I1428" s="228"/>
      <c r="J1428" s="228"/>
      <c r="K1428" s="228"/>
      <c r="L1428"/>
      <c r="M1428"/>
    </row>
    <row r="1429" spans="1:13" s="208" customFormat="1" ht="31.5" x14ac:dyDescent="0.2">
      <c r="A1429" s="155" t="s">
        <v>25</v>
      </c>
      <c r="B1429" s="58" t="s">
        <v>619</v>
      </c>
      <c r="C1429" s="58" t="s">
        <v>598</v>
      </c>
      <c r="D1429" s="59" t="s">
        <v>795</v>
      </c>
      <c r="E1429" s="58" t="s">
        <v>36</v>
      </c>
      <c r="F1429" s="82">
        <f>F1430</f>
        <v>3.3</v>
      </c>
      <c r="G1429" s="82">
        <f>G1430</f>
        <v>0</v>
      </c>
      <c r="H1429" s="258">
        <f t="shared" si="163"/>
        <v>0</v>
      </c>
      <c r="I1429" s="228"/>
      <c r="J1429" s="228"/>
      <c r="K1429" s="228"/>
      <c r="L1429"/>
      <c r="M1429"/>
    </row>
    <row r="1430" spans="1:13" s="208" customFormat="1" ht="31.5" x14ac:dyDescent="0.2">
      <c r="A1430" s="155" t="s">
        <v>26</v>
      </c>
      <c r="B1430" s="58" t="s">
        <v>619</v>
      </c>
      <c r="C1430" s="58" t="s">
        <v>598</v>
      </c>
      <c r="D1430" s="59" t="s">
        <v>795</v>
      </c>
      <c r="E1430" s="58" t="s">
        <v>37</v>
      </c>
      <c r="F1430" s="82">
        <v>3.3</v>
      </c>
      <c r="G1430" s="82">
        <v>0</v>
      </c>
      <c r="H1430" s="258">
        <f t="shared" si="163"/>
        <v>0</v>
      </c>
      <c r="I1430" s="228"/>
      <c r="J1430" s="228"/>
      <c r="K1430" s="228"/>
      <c r="L1430"/>
      <c r="M1430"/>
    </row>
    <row r="1431" spans="1:13" s="116" customFormat="1" hidden="1" x14ac:dyDescent="0.2">
      <c r="A1431" s="175" t="s">
        <v>27</v>
      </c>
      <c r="B1431" s="100" t="s">
        <v>619</v>
      </c>
      <c r="C1431" s="100" t="s">
        <v>598</v>
      </c>
      <c r="D1431" s="101" t="s">
        <v>745</v>
      </c>
      <c r="E1431" s="100" t="s">
        <v>155</v>
      </c>
      <c r="F1431" s="176">
        <f>F1432</f>
        <v>3.0000000000000249E-2</v>
      </c>
      <c r="G1431" s="176">
        <f>G1432</f>
        <v>3.0000000000000249E-2</v>
      </c>
      <c r="H1431" s="269">
        <f t="shared" ref="H1431" si="168">H1432</f>
        <v>3.0000000000000249E-2</v>
      </c>
      <c r="I1431" s="228"/>
      <c r="J1431" s="228"/>
      <c r="K1431" s="228"/>
      <c r="L1431"/>
      <c r="M1431"/>
    </row>
    <row r="1432" spans="1:13" s="116" customFormat="1" hidden="1" x14ac:dyDescent="0.2">
      <c r="A1432" s="175" t="s">
        <v>156</v>
      </c>
      <c r="B1432" s="100" t="s">
        <v>619</v>
      </c>
      <c r="C1432" s="100" t="s">
        <v>598</v>
      </c>
      <c r="D1432" s="101" t="s">
        <v>745</v>
      </c>
      <c r="E1432" s="100" t="s">
        <v>157</v>
      </c>
      <c r="F1432" s="176">
        <f>3.3+1.83-5.1</f>
        <v>3.0000000000000249E-2</v>
      </c>
      <c r="G1432" s="176">
        <f>3.3+1.83-5.1</f>
        <v>3.0000000000000249E-2</v>
      </c>
      <c r="H1432" s="269">
        <f t="shared" ref="H1432" si="169">3.3+1.83-5.1</f>
        <v>3.0000000000000249E-2</v>
      </c>
      <c r="I1432" s="228"/>
      <c r="J1432" s="228"/>
      <c r="K1432" s="228"/>
      <c r="L1432"/>
      <c r="M1432"/>
    </row>
    <row r="1433" spans="1:13" s="116" customFormat="1" hidden="1" x14ac:dyDescent="0.2">
      <c r="A1433" s="81" t="s">
        <v>29</v>
      </c>
      <c r="B1433" s="100" t="s">
        <v>619</v>
      </c>
      <c r="C1433" s="100" t="s">
        <v>598</v>
      </c>
      <c r="D1433" s="101" t="s">
        <v>745</v>
      </c>
      <c r="E1433" s="31" t="s">
        <v>130</v>
      </c>
      <c r="F1433" s="176">
        <f>F1434</f>
        <v>0</v>
      </c>
      <c r="G1433" s="176">
        <f>G1434</f>
        <v>0</v>
      </c>
      <c r="H1433" s="269">
        <f t="shared" ref="H1433" si="170">H1434</f>
        <v>0</v>
      </c>
      <c r="I1433" s="228"/>
      <c r="J1433" s="228"/>
      <c r="K1433" s="228"/>
      <c r="L1433"/>
      <c r="M1433"/>
    </row>
    <row r="1434" spans="1:13" s="116" customFormat="1" hidden="1" x14ac:dyDescent="0.2">
      <c r="A1434" s="81" t="s">
        <v>50</v>
      </c>
      <c r="B1434" s="100" t="s">
        <v>619</v>
      </c>
      <c r="C1434" s="100" t="s">
        <v>598</v>
      </c>
      <c r="D1434" s="101" t="s">
        <v>745</v>
      </c>
      <c r="E1434" s="31" t="s">
        <v>277</v>
      </c>
      <c r="F1434" s="176">
        <v>0</v>
      </c>
      <c r="G1434" s="176">
        <v>0</v>
      </c>
      <c r="H1434" s="269">
        <v>0</v>
      </c>
      <c r="I1434" s="228"/>
      <c r="J1434" s="228"/>
      <c r="K1434" s="228"/>
      <c r="L1434"/>
      <c r="M1434"/>
    </row>
    <row r="1435" spans="1:13" s="116" customFormat="1" ht="47.25" hidden="1" x14ac:dyDescent="0.2">
      <c r="A1435" s="175" t="s">
        <v>796</v>
      </c>
      <c r="B1435" s="100" t="s">
        <v>619</v>
      </c>
      <c r="C1435" s="100" t="s">
        <v>598</v>
      </c>
      <c r="D1435" s="101" t="s">
        <v>797</v>
      </c>
      <c r="E1435" s="31"/>
      <c r="F1435" s="176">
        <f>F1436</f>
        <v>0</v>
      </c>
      <c r="G1435" s="176">
        <f>G1436</f>
        <v>0</v>
      </c>
      <c r="H1435" s="269">
        <f t="shared" ref="H1435:H1436" si="171">H1436</f>
        <v>0</v>
      </c>
      <c r="I1435" s="228"/>
      <c r="J1435" s="228"/>
      <c r="K1435" s="228"/>
      <c r="L1435"/>
      <c r="M1435"/>
    </row>
    <row r="1436" spans="1:13" s="116" customFormat="1" ht="31.5" hidden="1" x14ac:dyDescent="0.2">
      <c r="A1436" s="175" t="s">
        <v>25</v>
      </c>
      <c r="B1436" s="100" t="s">
        <v>619</v>
      </c>
      <c r="C1436" s="100" t="s">
        <v>598</v>
      </c>
      <c r="D1436" s="101" t="s">
        <v>797</v>
      </c>
      <c r="E1436" s="31" t="s">
        <v>36</v>
      </c>
      <c r="F1436" s="176">
        <f>F1437</f>
        <v>0</v>
      </c>
      <c r="G1436" s="176">
        <f>G1437</f>
        <v>0</v>
      </c>
      <c r="H1436" s="269">
        <f t="shared" si="171"/>
        <v>0</v>
      </c>
      <c r="I1436" s="228"/>
      <c r="J1436" s="228"/>
      <c r="K1436" s="228"/>
      <c r="L1436"/>
      <c r="M1436"/>
    </row>
    <row r="1437" spans="1:13" s="116" customFormat="1" ht="31.5" hidden="1" x14ac:dyDescent="0.2">
      <c r="A1437" s="175" t="s">
        <v>26</v>
      </c>
      <c r="B1437" s="100" t="s">
        <v>619</v>
      </c>
      <c r="C1437" s="100" t="s">
        <v>598</v>
      </c>
      <c r="D1437" s="101" t="s">
        <v>797</v>
      </c>
      <c r="E1437" s="31" t="s">
        <v>37</v>
      </c>
      <c r="F1437" s="176"/>
      <c r="G1437" s="176"/>
      <c r="H1437" s="269"/>
      <c r="I1437" s="228"/>
      <c r="J1437" s="228"/>
      <c r="K1437" s="228"/>
      <c r="L1437"/>
      <c r="M1437"/>
    </row>
    <row r="1438" spans="1:13" s="5" customFormat="1" ht="18" hidden="1" customHeight="1" x14ac:dyDescent="0.2">
      <c r="A1438" s="81" t="s">
        <v>798</v>
      </c>
      <c r="B1438" s="31">
        <v>907</v>
      </c>
      <c r="C1438" s="31" t="s">
        <v>125</v>
      </c>
      <c r="D1438" s="31" t="s">
        <v>799</v>
      </c>
      <c r="E1438" s="31"/>
      <c r="F1438" s="83">
        <f>F1439</f>
        <v>0</v>
      </c>
      <c r="G1438" s="83">
        <f>G1439</f>
        <v>0</v>
      </c>
      <c r="H1438" s="264">
        <f t="shared" ref="H1438:H1439" si="172">H1439</f>
        <v>0</v>
      </c>
      <c r="I1438" s="228"/>
      <c r="J1438" s="228"/>
      <c r="K1438" s="228"/>
      <c r="L1438"/>
      <c r="M1438"/>
    </row>
    <row r="1439" spans="1:13" s="5" customFormat="1" ht="31.5" hidden="1" x14ac:dyDescent="0.2">
      <c r="A1439" s="81" t="s">
        <v>25</v>
      </c>
      <c r="B1439" s="31">
        <v>907</v>
      </c>
      <c r="C1439" s="31" t="s">
        <v>125</v>
      </c>
      <c r="D1439" s="31" t="s">
        <v>799</v>
      </c>
      <c r="E1439" s="31" t="s">
        <v>36</v>
      </c>
      <c r="F1439" s="83">
        <f>F1440</f>
        <v>0</v>
      </c>
      <c r="G1439" s="83">
        <f>G1440</f>
        <v>0</v>
      </c>
      <c r="H1439" s="264">
        <f t="shared" si="172"/>
        <v>0</v>
      </c>
      <c r="I1439" s="228"/>
      <c r="J1439" s="228"/>
      <c r="K1439" s="228"/>
      <c r="L1439"/>
      <c r="M1439"/>
    </row>
    <row r="1440" spans="1:13" s="5" customFormat="1" ht="31.5" hidden="1" x14ac:dyDescent="0.2">
      <c r="A1440" s="81" t="s">
        <v>26</v>
      </c>
      <c r="B1440" s="31">
        <v>907</v>
      </c>
      <c r="C1440" s="31" t="s">
        <v>125</v>
      </c>
      <c r="D1440" s="31" t="s">
        <v>799</v>
      </c>
      <c r="E1440" s="31" t="s">
        <v>37</v>
      </c>
      <c r="F1440" s="83"/>
      <c r="G1440" s="83"/>
      <c r="H1440" s="264"/>
      <c r="I1440" s="228"/>
      <c r="J1440" s="228"/>
      <c r="K1440" s="228"/>
      <c r="L1440"/>
      <c r="M1440"/>
    </row>
    <row r="1441" spans="1:13" s="22" customFormat="1" ht="21.6" hidden="1" customHeight="1" x14ac:dyDescent="0.2">
      <c r="A1441" s="210" t="s">
        <v>800</v>
      </c>
      <c r="B1441" s="19">
        <v>907</v>
      </c>
      <c r="C1441" s="211"/>
      <c r="D1441" s="211"/>
      <c r="E1441" s="211"/>
      <c r="F1441" s="20">
        <f t="shared" ref="F1441:H1446" si="173">F1442</f>
        <v>0</v>
      </c>
      <c r="G1441" s="20">
        <f t="shared" si="173"/>
        <v>0</v>
      </c>
      <c r="H1441" s="259">
        <f t="shared" si="173"/>
        <v>0</v>
      </c>
      <c r="I1441" s="228"/>
      <c r="J1441" s="228"/>
      <c r="K1441" s="228"/>
      <c r="L1441"/>
      <c r="M1441"/>
    </row>
    <row r="1442" spans="1:13" s="5" customFormat="1" ht="21" hidden="1" customHeight="1" x14ac:dyDescent="0.2">
      <c r="A1442" s="74" t="s">
        <v>124</v>
      </c>
      <c r="B1442" s="75">
        <v>907</v>
      </c>
      <c r="C1442" s="34" t="s">
        <v>125</v>
      </c>
      <c r="D1442" s="34"/>
      <c r="E1442" s="76"/>
      <c r="F1442" s="78">
        <f t="shared" si="173"/>
        <v>0</v>
      </c>
      <c r="G1442" s="78">
        <f t="shared" si="173"/>
        <v>0</v>
      </c>
      <c r="H1442" s="262">
        <f t="shared" si="173"/>
        <v>0</v>
      </c>
      <c r="I1442" s="228"/>
      <c r="J1442" s="228"/>
      <c r="K1442" s="228"/>
      <c r="L1442"/>
      <c r="M1442"/>
    </row>
    <row r="1443" spans="1:13" s="5" customFormat="1" ht="18" hidden="1" customHeight="1" x14ac:dyDescent="0.2">
      <c r="A1443" s="79" t="s">
        <v>126</v>
      </c>
      <c r="B1443" s="15">
        <v>907</v>
      </c>
      <c r="C1443" s="15" t="s">
        <v>125</v>
      </c>
      <c r="D1443" s="15" t="s">
        <v>127</v>
      </c>
      <c r="E1443" s="15"/>
      <c r="F1443" s="80">
        <f t="shared" si="173"/>
        <v>0</v>
      </c>
      <c r="G1443" s="80">
        <f t="shared" si="173"/>
        <v>0</v>
      </c>
      <c r="H1443" s="263">
        <f t="shared" si="173"/>
        <v>0</v>
      </c>
      <c r="I1443" s="228"/>
      <c r="J1443" s="228"/>
      <c r="K1443" s="228"/>
      <c r="L1443"/>
      <c r="M1443"/>
    </row>
    <row r="1444" spans="1:13" s="5" customFormat="1" ht="31.5" hidden="1" x14ac:dyDescent="0.2">
      <c r="A1444" s="81" t="s">
        <v>25</v>
      </c>
      <c r="B1444" s="31">
        <v>907</v>
      </c>
      <c r="C1444" s="31" t="s">
        <v>125</v>
      </c>
      <c r="D1444" s="31" t="s">
        <v>127</v>
      </c>
      <c r="E1444" s="31"/>
      <c r="F1444" s="83">
        <f t="shared" si="173"/>
        <v>0</v>
      </c>
      <c r="G1444" s="83">
        <f t="shared" si="173"/>
        <v>0</v>
      </c>
      <c r="H1444" s="264">
        <f t="shared" si="173"/>
        <v>0</v>
      </c>
      <c r="I1444" s="228"/>
      <c r="J1444" s="228"/>
      <c r="K1444" s="228"/>
      <c r="L1444"/>
      <c r="M1444"/>
    </row>
    <row r="1445" spans="1:13" s="5" customFormat="1" ht="31.5" hidden="1" x14ac:dyDescent="0.2">
      <c r="A1445" s="81" t="s">
        <v>128</v>
      </c>
      <c r="B1445" s="31">
        <v>907</v>
      </c>
      <c r="C1445" s="31" t="s">
        <v>125</v>
      </c>
      <c r="D1445" s="31" t="s">
        <v>129</v>
      </c>
      <c r="E1445" s="31"/>
      <c r="F1445" s="83">
        <f t="shared" si="173"/>
        <v>0</v>
      </c>
      <c r="G1445" s="83">
        <f t="shared" si="173"/>
        <v>0</v>
      </c>
      <c r="H1445" s="264">
        <f t="shared" si="173"/>
        <v>0</v>
      </c>
      <c r="I1445" s="228"/>
      <c r="J1445" s="228"/>
      <c r="K1445" s="228"/>
      <c r="L1445"/>
      <c r="M1445"/>
    </row>
    <row r="1446" spans="1:13" s="5" customFormat="1" ht="31.5" hidden="1" x14ac:dyDescent="0.2">
      <c r="A1446" s="81" t="s">
        <v>25</v>
      </c>
      <c r="B1446" s="31">
        <v>907</v>
      </c>
      <c r="C1446" s="31" t="s">
        <v>125</v>
      </c>
      <c r="D1446" s="31" t="s">
        <v>129</v>
      </c>
      <c r="E1446" s="31" t="s">
        <v>36</v>
      </c>
      <c r="F1446" s="83">
        <f t="shared" si="173"/>
        <v>0</v>
      </c>
      <c r="G1446" s="83">
        <f t="shared" si="173"/>
        <v>0</v>
      </c>
      <c r="H1446" s="264">
        <f t="shared" si="173"/>
        <v>0</v>
      </c>
      <c r="I1446" s="228"/>
      <c r="J1446" s="228"/>
      <c r="K1446" s="228"/>
      <c r="L1446"/>
      <c r="M1446"/>
    </row>
    <row r="1447" spans="1:13" s="5" customFormat="1" ht="31.5" hidden="1" x14ac:dyDescent="0.2">
      <c r="A1447" s="81" t="s">
        <v>26</v>
      </c>
      <c r="B1447" s="31">
        <v>907</v>
      </c>
      <c r="C1447" s="31" t="s">
        <v>125</v>
      </c>
      <c r="D1447" s="31" t="s">
        <v>129</v>
      </c>
      <c r="E1447" s="31" t="s">
        <v>37</v>
      </c>
      <c r="F1447" s="83">
        <f>1740-1740</f>
        <v>0</v>
      </c>
      <c r="G1447" s="83">
        <f>1740-1740</f>
        <v>0</v>
      </c>
      <c r="H1447" s="264">
        <v>0</v>
      </c>
      <c r="I1447" s="228"/>
      <c r="J1447" s="228"/>
      <c r="K1447" s="228"/>
      <c r="L1447"/>
      <c r="M1447"/>
    </row>
    <row r="1448" spans="1:13" s="22" customFormat="1" ht="31.5" x14ac:dyDescent="0.2">
      <c r="A1448" s="210" t="s">
        <v>801</v>
      </c>
      <c r="B1448" s="19" t="s">
        <v>802</v>
      </c>
      <c r="C1448" s="211"/>
      <c r="D1448" s="211"/>
      <c r="E1448" s="211"/>
      <c r="F1448" s="20">
        <f>F1449+F1503+F1511+F1523+F1596+F1712+F1723+F1759+F1767+F1772</f>
        <v>92336.200000000012</v>
      </c>
      <c r="G1448" s="20">
        <f>G1449+G1503+G1511+G1523+G1596+G1712+G1723+G1759+G1767+G1772</f>
        <v>75017.5</v>
      </c>
      <c r="H1448" s="259">
        <f>G1448/F1448</f>
        <v>0.8124386751891457</v>
      </c>
      <c r="I1448" s="228"/>
      <c r="J1448" s="228"/>
      <c r="K1448" s="228"/>
      <c r="L1448"/>
      <c r="M1448"/>
    </row>
    <row r="1449" spans="1:13" s="28" customFormat="1" x14ac:dyDescent="0.2">
      <c r="A1449" s="23" t="s">
        <v>5</v>
      </c>
      <c r="B1449" s="24">
        <v>992</v>
      </c>
      <c r="C1449" s="15" t="s">
        <v>6</v>
      </c>
      <c r="D1449" s="24"/>
      <c r="E1449" s="24"/>
      <c r="F1449" s="16">
        <f>F1450+F1460+F1469</f>
        <v>7944.7999999999993</v>
      </c>
      <c r="G1449" s="16">
        <f>G1450+G1460+G1469</f>
        <v>4317.6000000000004</v>
      </c>
      <c r="H1449" s="258">
        <f t="shared" ref="H1449:H1512" si="174">G1449/F1449</f>
        <v>0.54344980364515161</v>
      </c>
      <c r="I1449" s="228"/>
      <c r="J1449" s="228"/>
      <c r="K1449" s="228"/>
      <c r="L1449"/>
      <c r="M1449"/>
    </row>
    <row r="1450" spans="1:13" s="5" customFormat="1" ht="47.25" x14ac:dyDescent="0.2">
      <c r="A1450" s="33" t="s">
        <v>38</v>
      </c>
      <c r="B1450" s="34" t="s">
        <v>802</v>
      </c>
      <c r="C1450" s="34" t="s">
        <v>39</v>
      </c>
      <c r="D1450" s="34"/>
      <c r="E1450" s="41"/>
      <c r="F1450" s="35">
        <f t="shared" ref="F1450:G1452" si="175">F1451</f>
        <v>5850.7</v>
      </c>
      <c r="G1450" s="35">
        <f t="shared" si="175"/>
        <v>4051.1</v>
      </c>
      <c r="H1450" s="258">
        <f t="shared" si="174"/>
        <v>0.69241287367323567</v>
      </c>
      <c r="I1450" s="228"/>
      <c r="J1450" s="228"/>
      <c r="K1450" s="228"/>
      <c r="L1450"/>
      <c r="M1450"/>
    </row>
    <row r="1451" spans="1:13" s="28" customFormat="1" ht="63" x14ac:dyDescent="0.2">
      <c r="A1451" s="23" t="s">
        <v>11</v>
      </c>
      <c r="B1451" s="15" t="s">
        <v>802</v>
      </c>
      <c r="C1451" s="15" t="s">
        <v>39</v>
      </c>
      <c r="D1451" s="15" t="s">
        <v>18</v>
      </c>
      <c r="E1451" s="24"/>
      <c r="F1451" s="25">
        <f t="shared" si="175"/>
        <v>5850.7</v>
      </c>
      <c r="G1451" s="25">
        <f t="shared" si="175"/>
        <v>4051.1</v>
      </c>
      <c r="H1451" s="258">
        <f t="shared" si="174"/>
        <v>0.69241287367323567</v>
      </c>
      <c r="I1451" s="228"/>
      <c r="J1451" s="228"/>
      <c r="K1451" s="228"/>
      <c r="L1451"/>
      <c r="M1451"/>
    </row>
    <row r="1452" spans="1:13" s="45" customFormat="1" x14ac:dyDescent="0.2">
      <c r="A1452" s="30" t="s">
        <v>21</v>
      </c>
      <c r="B1452" s="31" t="s">
        <v>802</v>
      </c>
      <c r="C1452" s="31" t="s">
        <v>39</v>
      </c>
      <c r="D1452" s="31" t="s">
        <v>22</v>
      </c>
      <c r="E1452" s="32"/>
      <c r="F1452" s="29">
        <f t="shared" si="175"/>
        <v>5850.7</v>
      </c>
      <c r="G1452" s="29">
        <f t="shared" si="175"/>
        <v>4051.1</v>
      </c>
      <c r="H1452" s="258">
        <f t="shared" si="174"/>
        <v>0.69241287367323567</v>
      </c>
      <c r="I1452" s="228"/>
      <c r="J1452" s="228"/>
      <c r="K1452" s="228"/>
      <c r="L1452"/>
      <c r="M1452"/>
    </row>
    <row r="1453" spans="1:13" s="28" customFormat="1" ht="31.5" x14ac:dyDescent="0.2">
      <c r="A1453" s="105" t="s">
        <v>803</v>
      </c>
      <c r="B1453" s="40" t="s">
        <v>802</v>
      </c>
      <c r="C1453" s="40" t="s">
        <v>39</v>
      </c>
      <c r="D1453" s="40" t="s">
        <v>804</v>
      </c>
      <c r="E1453" s="106"/>
      <c r="F1453" s="42">
        <f>F1454+F1456+F1458</f>
        <v>5850.7</v>
      </c>
      <c r="G1453" s="42">
        <f>G1454+G1456+G1458</f>
        <v>4051.1</v>
      </c>
      <c r="H1453" s="258">
        <f t="shared" si="174"/>
        <v>0.69241287367323567</v>
      </c>
      <c r="I1453" s="228"/>
      <c r="J1453" s="228"/>
      <c r="K1453" s="228"/>
      <c r="L1453"/>
      <c r="M1453"/>
    </row>
    <row r="1454" spans="1:13" s="45" customFormat="1" ht="67.150000000000006" customHeight="1" x14ac:dyDescent="0.2">
      <c r="A1454" s="43" t="s">
        <v>23</v>
      </c>
      <c r="B1454" s="31" t="s">
        <v>802</v>
      </c>
      <c r="C1454" s="31" t="s">
        <v>39</v>
      </c>
      <c r="D1454" s="31" t="s">
        <v>804</v>
      </c>
      <c r="E1454" s="32">
        <v>100</v>
      </c>
      <c r="F1454" s="29">
        <f>F1455</f>
        <v>5496.2</v>
      </c>
      <c r="G1454" s="29">
        <f>G1455</f>
        <v>3787.7</v>
      </c>
      <c r="H1454" s="258">
        <f t="shared" si="174"/>
        <v>0.68914886648957463</v>
      </c>
      <c r="I1454" s="228"/>
      <c r="J1454" s="228"/>
      <c r="K1454" s="228"/>
      <c r="L1454"/>
      <c r="M1454"/>
    </row>
    <row r="1455" spans="1:13" s="28" customFormat="1" ht="31.5" x14ac:dyDescent="0.2">
      <c r="A1455" s="43" t="s">
        <v>24</v>
      </c>
      <c r="B1455" s="31" t="s">
        <v>802</v>
      </c>
      <c r="C1455" s="31" t="s">
        <v>39</v>
      </c>
      <c r="D1455" s="31" t="s">
        <v>804</v>
      </c>
      <c r="E1455" s="32">
        <v>120</v>
      </c>
      <c r="F1455" s="29">
        <f>5245.5+250.7</f>
        <v>5496.2</v>
      </c>
      <c r="G1455" s="29">
        <f>2948+839.7</f>
        <v>3787.7</v>
      </c>
      <c r="H1455" s="258">
        <f t="shared" si="174"/>
        <v>0.68914886648957463</v>
      </c>
      <c r="I1455" s="228"/>
      <c r="J1455" s="228"/>
      <c r="K1455" s="228"/>
      <c r="L1455"/>
      <c r="M1455"/>
    </row>
    <row r="1456" spans="1:13" s="5" customFormat="1" ht="31.5" x14ac:dyDescent="0.2">
      <c r="A1456" s="43" t="s">
        <v>25</v>
      </c>
      <c r="B1456" s="31" t="s">
        <v>802</v>
      </c>
      <c r="C1456" s="31" t="s">
        <v>39</v>
      </c>
      <c r="D1456" s="31" t="s">
        <v>804</v>
      </c>
      <c r="E1456" s="32">
        <v>200</v>
      </c>
      <c r="F1456" s="29">
        <f>F1457</f>
        <v>351</v>
      </c>
      <c r="G1456" s="29">
        <f>G1457</f>
        <v>263.10000000000002</v>
      </c>
      <c r="H1456" s="258">
        <f t="shared" si="174"/>
        <v>0.74957264957264969</v>
      </c>
      <c r="I1456" s="228"/>
      <c r="J1456" s="228"/>
      <c r="K1456" s="228"/>
      <c r="L1456"/>
      <c r="M1456"/>
    </row>
    <row r="1457" spans="1:13" s="5" customFormat="1" ht="31.5" x14ac:dyDescent="0.2">
      <c r="A1457" s="43" t="s">
        <v>26</v>
      </c>
      <c r="B1457" s="31" t="s">
        <v>802</v>
      </c>
      <c r="C1457" s="31" t="s">
        <v>39</v>
      </c>
      <c r="D1457" s="31" t="s">
        <v>804</v>
      </c>
      <c r="E1457" s="32">
        <v>240</v>
      </c>
      <c r="F1457" s="29">
        <v>351</v>
      </c>
      <c r="G1457" s="29">
        <v>263.10000000000002</v>
      </c>
      <c r="H1457" s="258">
        <f t="shared" si="174"/>
        <v>0.74957264957264969</v>
      </c>
      <c r="I1457" s="228"/>
      <c r="J1457" s="228"/>
      <c r="K1457" s="228"/>
      <c r="L1457"/>
      <c r="M1457"/>
    </row>
    <row r="1458" spans="1:13" s="5" customFormat="1" x14ac:dyDescent="0.2">
      <c r="A1458" s="36" t="s">
        <v>29</v>
      </c>
      <c r="B1458" s="31" t="s">
        <v>802</v>
      </c>
      <c r="C1458" s="31" t="s">
        <v>39</v>
      </c>
      <c r="D1458" s="31" t="s">
        <v>804</v>
      </c>
      <c r="E1458" s="32">
        <v>800</v>
      </c>
      <c r="F1458" s="29">
        <f>F1459</f>
        <v>3.5</v>
      </c>
      <c r="G1458" s="29">
        <f>G1459</f>
        <v>0.3</v>
      </c>
      <c r="H1458" s="258">
        <f t="shared" si="174"/>
        <v>8.5714285714285715E-2</v>
      </c>
      <c r="I1458" s="228"/>
      <c r="J1458" s="228"/>
      <c r="K1458" s="228"/>
      <c r="L1458"/>
      <c r="M1458"/>
    </row>
    <row r="1459" spans="1:13" s="5" customFormat="1" x14ac:dyDescent="0.2">
      <c r="A1459" s="43" t="s">
        <v>31</v>
      </c>
      <c r="B1459" s="31" t="s">
        <v>802</v>
      </c>
      <c r="C1459" s="31" t="s">
        <v>39</v>
      </c>
      <c r="D1459" s="31" t="s">
        <v>804</v>
      </c>
      <c r="E1459" s="32">
        <v>850</v>
      </c>
      <c r="F1459" s="29">
        <v>3.5</v>
      </c>
      <c r="G1459" s="29">
        <v>0.3</v>
      </c>
      <c r="H1459" s="258">
        <f t="shared" si="174"/>
        <v>8.5714285714285715E-2</v>
      </c>
      <c r="I1459" s="228"/>
      <c r="J1459" s="228"/>
      <c r="K1459" s="228"/>
      <c r="L1459"/>
      <c r="M1459"/>
    </row>
    <row r="1460" spans="1:13" s="5" customFormat="1" x14ac:dyDescent="0.2">
      <c r="A1460" s="74" t="s">
        <v>67</v>
      </c>
      <c r="B1460" s="34" t="s">
        <v>802</v>
      </c>
      <c r="C1460" s="34" t="s">
        <v>805</v>
      </c>
      <c r="D1460" s="34" t="s">
        <v>4</v>
      </c>
      <c r="E1460" s="34" t="s">
        <v>4</v>
      </c>
      <c r="F1460" s="190">
        <f>F1461</f>
        <v>608</v>
      </c>
      <c r="G1460" s="190">
        <f>G1461</f>
        <v>0</v>
      </c>
      <c r="H1460" s="258">
        <f t="shared" si="174"/>
        <v>0</v>
      </c>
      <c r="I1460" s="228"/>
      <c r="J1460" s="228"/>
      <c r="K1460" s="228"/>
      <c r="L1460"/>
      <c r="M1460"/>
    </row>
    <row r="1461" spans="1:13" s="5" customFormat="1" x14ac:dyDescent="0.2">
      <c r="A1461" s="14" t="s">
        <v>67</v>
      </c>
      <c r="B1461" s="15" t="s">
        <v>802</v>
      </c>
      <c r="C1461" s="15" t="s">
        <v>805</v>
      </c>
      <c r="D1461" s="15" t="s">
        <v>68</v>
      </c>
      <c r="E1461" s="15" t="s">
        <v>4</v>
      </c>
      <c r="F1461" s="80">
        <f>F1462</f>
        <v>608</v>
      </c>
      <c r="G1461" s="80">
        <f>G1462</f>
        <v>0</v>
      </c>
      <c r="H1461" s="258">
        <f t="shared" si="174"/>
        <v>0</v>
      </c>
      <c r="I1461" s="228"/>
      <c r="J1461" s="228"/>
      <c r="K1461" s="228"/>
      <c r="L1461"/>
      <c r="M1461"/>
    </row>
    <row r="1462" spans="1:13" s="5" customFormat="1" x14ac:dyDescent="0.2">
      <c r="A1462" s="36" t="s">
        <v>33</v>
      </c>
      <c r="B1462" s="31" t="s">
        <v>802</v>
      </c>
      <c r="C1462" s="31" t="s">
        <v>805</v>
      </c>
      <c r="D1462" s="31" t="s">
        <v>69</v>
      </c>
      <c r="E1462" s="31" t="s">
        <v>4</v>
      </c>
      <c r="F1462" s="88">
        <f>F1463+F1466</f>
        <v>608</v>
      </c>
      <c r="G1462" s="88">
        <f>G1463+G1466</f>
        <v>0</v>
      </c>
      <c r="H1462" s="258">
        <f t="shared" si="174"/>
        <v>0</v>
      </c>
      <c r="I1462" s="228"/>
      <c r="J1462" s="228"/>
      <c r="K1462" s="228"/>
      <c r="L1462"/>
      <c r="M1462"/>
    </row>
    <row r="1463" spans="1:13" s="5" customFormat="1" ht="31.5" x14ac:dyDescent="0.2">
      <c r="A1463" s="85" t="s">
        <v>70</v>
      </c>
      <c r="B1463" s="40" t="s">
        <v>802</v>
      </c>
      <c r="C1463" s="40" t="s">
        <v>805</v>
      </c>
      <c r="D1463" s="40" t="s">
        <v>71</v>
      </c>
      <c r="E1463" s="40"/>
      <c r="F1463" s="152">
        <f>F1464</f>
        <v>408</v>
      </c>
      <c r="G1463" s="152">
        <f>G1464</f>
        <v>0</v>
      </c>
      <c r="H1463" s="258">
        <f t="shared" si="174"/>
        <v>0</v>
      </c>
      <c r="I1463" s="228"/>
      <c r="J1463" s="228"/>
      <c r="K1463" s="228"/>
      <c r="L1463"/>
      <c r="M1463"/>
    </row>
    <row r="1464" spans="1:13" s="98" customFormat="1" x14ac:dyDescent="0.2">
      <c r="A1464" s="36" t="s">
        <v>29</v>
      </c>
      <c r="B1464" s="31" t="s">
        <v>802</v>
      </c>
      <c r="C1464" s="31" t="s">
        <v>805</v>
      </c>
      <c r="D1464" s="31" t="s">
        <v>71</v>
      </c>
      <c r="E1464" s="31" t="s">
        <v>130</v>
      </c>
      <c r="F1464" s="88">
        <f>F1465</f>
        <v>408</v>
      </c>
      <c r="G1464" s="88">
        <f>G1465</f>
        <v>0</v>
      </c>
      <c r="H1464" s="258">
        <f t="shared" si="174"/>
        <v>0</v>
      </c>
      <c r="I1464" s="228"/>
      <c r="J1464" s="228"/>
      <c r="K1464" s="228"/>
      <c r="L1464"/>
      <c r="M1464"/>
    </row>
    <row r="1465" spans="1:13" s="28" customFormat="1" x14ac:dyDescent="0.2">
      <c r="A1465" s="36" t="s">
        <v>50</v>
      </c>
      <c r="B1465" s="31" t="s">
        <v>802</v>
      </c>
      <c r="C1465" s="31" t="s">
        <v>805</v>
      </c>
      <c r="D1465" s="31" t="s">
        <v>71</v>
      </c>
      <c r="E1465" s="31" t="s">
        <v>277</v>
      </c>
      <c r="F1465" s="88">
        <v>408</v>
      </c>
      <c r="G1465" s="88">
        <v>0</v>
      </c>
      <c r="H1465" s="258">
        <f t="shared" si="174"/>
        <v>0</v>
      </c>
      <c r="I1465" s="228"/>
      <c r="J1465" s="228"/>
      <c r="K1465" s="228"/>
      <c r="L1465"/>
      <c r="M1465"/>
    </row>
    <row r="1466" spans="1:13" s="45" customFormat="1" ht="47.25" x14ac:dyDescent="0.2">
      <c r="A1466" s="85" t="s">
        <v>169</v>
      </c>
      <c r="B1466" s="40" t="s">
        <v>802</v>
      </c>
      <c r="C1466" s="40" t="s">
        <v>805</v>
      </c>
      <c r="D1466" s="40" t="s">
        <v>170</v>
      </c>
      <c r="E1466" s="40"/>
      <c r="F1466" s="152">
        <f>F1467</f>
        <v>200</v>
      </c>
      <c r="G1466" s="152">
        <f>G1467</f>
        <v>0</v>
      </c>
      <c r="H1466" s="258">
        <f t="shared" si="174"/>
        <v>0</v>
      </c>
      <c r="I1466" s="228"/>
      <c r="J1466" s="228"/>
      <c r="K1466" s="228"/>
      <c r="L1466"/>
      <c r="M1466"/>
    </row>
    <row r="1467" spans="1:13" s="45" customFormat="1" x14ac:dyDescent="0.2">
      <c r="A1467" s="36" t="s">
        <v>29</v>
      </c>
      <c r="B1467" s="31" t="s">
        <v>802</v>
      </c>
      <c r="C1467" s="31" t="s">
        <v>805</v>
      </c>
      <c r="D1467" s="31" t="s">
        <v>170</v>
      </c>
      <c r="E1467" s="31" t="s">
        <v>130</v>
      </c>
      <c r="F1467" s="88">
        <f>F1468</f>
        <v>200</v>
      </c>
      <c r="G1467" s="88">
        <f>G1468</f>
        <v>0</v>
      </c>
      <c r="H1467" s="258">
        <f t="shared" si="174"/>
        <v>0</v>
      </c>
      <c r="I1467" s="228"/>
      <c r="J1467" s="228"/>
      <c r="K1467" s="228"/>
      <c r="L1467"/>
      <c r="M1467"/>
    </row>
    <row r="1468" spans="1:13" s="45" customFormat="1" x14ac:dyDescent="0.2">
      <c r="A1468" s="36" t="s">
        <v>50</v>
      </c>
      <c r="B1468" s="31" t="s">
        <v>802</v>
      </c>
      <c r="C1468" s="31" t="s">
        <v>805</v>
      </c>
      <c r="D1468" s="31" t="s">
        <v>170</v>
      </c>
      <c r="E1468" s="31" t="s">
        <v>277</v>
      </c>
      <c r="F1468" s="88">
        <v>200</v>
      </c>
      <c r="G1468" s="88">
        <v>0</v>
      </c>
      <c r="H1468" s="258">
        <f t="shared" si="174"/>
        <v>0</v>
      </c>
      <c r="I1468" s="228"/>
      <c r="J1468" s="228"/>
      <c r="K1468" s="228"/>
      <c r="L1468"/>
      <c r="M1468"/>
    </row>
    <row r="1469" spans="1:13" s="45" customFormat="1" x14ac:dyDescent="0.2">
      <c r="A1469" s="74" t="s">
        <v>133</v>
      </c>
      <c r="B1469" s="34" t="s">
        <v>802</v>
      </c>
      <c r="C1469" s="34" t="s">
        <v>134</v>
      </c>
      <c r="D1469" s="34"/>
      <c r="E1469" s="34"/>
      <c r="F1469" s="78">
        <f>F1470+F1484</f>
        <v>1486.1</v>
      </c>
      <c r="G1469" s="78">
        <f>G1470+G1484</f>
        <v>266.5</v>
      </c>
      <c r="H1469" s="258">
        <f t="shared" si="174"/>
        <v>0.17932844357714825</v>
      </c>
      <c r="I1469" s="228"/>
      <c r="J1469" s="228"/>
      <c r="K1469" s="228"/>
      <c r="L1469"/>
      <c r="M1469"/>
    </row>
    <row r="1470" spans="1:13" s="45" customFormat="1" x14ac:dyDescent="0.2">
      <c r="A1470" s="23" t="s">
        <v>173</v>
      </c>
      <c r="B1470" s="15" t="s">
        <v>802</v>
      </c>
      <c r="C1470" s="15" t="s">
        <v>134</v>
      </c>
      <c r="D1470" s="15" t="s">
        <v>174</v>
      </c>
      <c r="E1470" s="34"/>
      <c r="F1470" s="78">
        <f>F1471</f>
        <v>1394.1</v>
      </c>
      <c r="G1470" s="78">
        <f>G1471</f>
        <v>266.5</v>
      </c>
      <c r="H1470" s="258">
        <f t="shared" si="174"/>
        <v>0.19116275733448104</v>
      </c>
      <c r="I1470" s="228"/>
      <c r="J1470" s="228"/>
      <c r="K1470" s="228"/>
      <c r="L1470"/>
      <c r="M1470"/>
    </row>
    <row r="1471" spans="1:13" s="28" customFormat="1" x14ac:dyDescent="0.2">
      <c r="A1471" s="30" t="s">
        <v>175</v>
      </c>
      <c r="B1471" s="31" t="s">
        <v>802</v>
      </c>
      <c r="C1471" s="31" t="s">
        <v>134</v>
      </c>
      <c r="D1471" s="31" t="s">
        <v>176</v>
      </c>
      <c r="E1471" s="34"/>
      <c r="F1471" s="152">
        <f>F1472+F1475+F1478+F1481</f>
        <v>1394.1</v>
      </c>
      <c r="G1471" s="152">
        <f>G1472+G1475+G1478+G1481</f>
        <v>266.5</v>
      </c>
      <c r="H1471" s="258">
        <f t="shared" si="174"/>
        <v>0.19116275733448104</v>
      </c>
      <c r="I1471" s="228"/>
      <c r="J1471" s="228"/>
      <c r="K1471" s="228"/>
      <c r="L1471"/>
      <c r="M1471"/>
    </row>
    <row r="1472" spans="1:13" s="28" customFormat="1" ht="204" customHeight="1" x14ac:dyDescent="0.2">
      <c r="A1472" s="43" t="s">
        <v>183</v>
      </c>
      <c r="B1472" s="31" t="s">
        <v>802</v>
      </c>
      <c r="C1472" s="31" t="s">
        <v>134</v>
      </c>
      <c r="D1472" s="31" t="s">
        <v>184</v>
      </c>
      <c r="E1472" s="34"/>
      <c r="F1472" s="152">
        <f>F1473</f>
        <v>1</v>
      </c>
      <c r="G1472" s="152">
        <f>G1473</f>
        <v>0</v>
      </c>
      <c r="H1472" s="258">
        <f t="shared" si="174"/>
        <v>0</v>
      </c>
      <c r="I1472" s="228"/>
      <c r="J1472" s="228"/>
      <c r="K1472" s="228"/>
      <c r="L1472"/>
      <c r="M1472"/>
    </row>
    <row r="1473" spans="1:13" s="45" customFormat="1" x14ac:dyDescent="0.2">
      <c r="A1473" s="36" t="s">
        <v>29</v>
      </c>
      <c r="B1473" s="31" t="s">
        <v>802</v>
      </c>
      <c r="C1473" s="31" t="s">
        <v>134</v>
      </c>
      <c r="D1473" s="31" t="s">
        <v>184</v>
      </c>
      <c r="E1473" s="31" t="s">
        <v>130</v>
      </c>
      <c r="F1473" s="88">
        <f>F1474</f>
        <v>1</v>
      </c>
      <c r="G1473" s="88">
        <f>G1474</f>
        <v>0</v>
      </c>
      <c r="H1473" s="258">
        <f t="shared" si="174"/>
        <v>0</v>
      </c>
      <c r="I1473" s="228"/>
      <c r="J1473" s="228"/>
      <c r="K1473" s="228"/>
      <c r="L1473"/>
      <c r="M1473"/>
    </row>
    <row r="1474" spans="1:13" s="45" customFormat="1" x14ac:dyDescent="0.2">
      <c r="A1474" s="36" t="s">
        <v>50</v>
      </c>
      <c r="B1474" s="31" t="s">
        <v>802</v>
      </c>
      <c r="C1474" s="31" t="s">
        <v>134</v>
      </c>
      <c r="D1474" s="31" t="s">
        <v>184</v>
      </c>
      <c r="E1474" s="31" t="s">
        <v>277</v>
      </c>
      <c r="F1474" s="88">
        <v>1</v>
      </c>
      <c r="G1474" s="88">
        <v>0</v>
      </c>
      <c r="H1474" s="258">
        <f t="shared" si="174"/>
        <v>0</v>
      </c>
      <c r="I1474" s="228"/>
      <c r="J1474" s="228"/>
      <c r="K1474" s="228"/>
      <c r="L1474"/>
      <c r="M1474"/>
    </row>
    <row r="1475" spans="1:13" s="45" customFormat="1" x14ac:dyDescent="0.2">
      <c r="A1475" s="43" t="s">
        <v>806</v>
      </c>
      <c r="B1475" s="31" t="s">
        <v>802</v>
      </c>
      <c r="C1475" s="31" t="s">
        <v>134</v>
      </c>
      <c r="D1475" s="31" t="s">
        <v>187</v>
      </c>
      <c r="E1475" s="32"/>
      <c r="F1475" s="29">
        <f>F1476</f>
        <v>485.5</v>
      </c>
      <c r="G1475" s="29">
        <f>G1476</f>
        <v>266.5</v>
      </c>
      <c r="H1475" s="258">
        <f t="shared" si="174"/>
        <v>0.54891864057672501</v>
      </c>
      <c r="I1475" s="228"/>
      <c r="J1475" s="228"/>
      <c r="K1475" s="228"/>
      <c r="L1475"/>
      <c r="M1475"/>
    </row>
    <row r="1476" spans="1:13" s="45" customFormat="1" ht="31.5" x14ac:dyDescent="0.2">
      <c r="A1476" s="43" t="s">
        <v>25</v>
      </c>
      <c r="B1476" s="31" t="s">
        <v>802</v>
      </c>
      <c r="C1476" s="31" t="s">
        <v>134</v>
      </c>
      <c r="D1476" s="31" t="s">
        <v>187</v>
      </c>
      <c r="E1476" s="32">
        <v>200</v>
      </c>
      <c r="F1476" s="88">
        <f>F1477</f>
        <v>485.5</v>
      </c>
      <c r="G1476" s="88">
        <f>G1477</f>
        <v>266.5</v>
      </c>
      <c r="H1476" s="258">
        <f t="shared" si="174"/>
        <v>0.54891864057672501</v>
      </c>
      <c r="I1476" s="228"/>
      <c r="J1476" s="228"/>
      <c r="K1476" s="228"/>
      <c r="L1476"/>
      <c r="M1476"/>
    </row>
    <row r="1477" spans="1:13" s="45" customFormat="1" ht="31.5" x14ac:dyDescent="0.2">
      <c r="A1477" s="43" t="s">
        <v>26</v>
      </c>
      <c r="B1477" s="31" t="s">
        <v>802</v>
      </c>
      <c r="C1477" s="31" t="s">
        <v>134</v>
      </c>
      <c r="D1477" s="31" t="s">
        <v>187</v>
      </c>
      <c r="E1477" s="32">
        <v>240</v>
      </c>
      <c r="F1477" s="88">
        <v>485.5</v>
      </c>
      <c r="G1477" s="88">
        <v>266.5</v>
      </c>
      <c r="H1477" s="258">
        <f t="shared" si="174"/>
        <v>0.54891864057672501</v>
      </c>
      <c r="I1477" s="228"/>
      <c r="J1477" s="228"/>
      <c r="K1477" s="228"/>
      <c r="L1477"/>
      <c r="M1477"/>
    </row>
    <row r="1478" spans="1:13" s="44" customFormat="1" ht="78.75" x14ac:dyDescent="0.2">
      <c r="A1478" s="36" t="s">
        <v>807</v>
      </c>
      <c r="B1478" s="31" t="s">
        <v>802</v>
      </c>
      <c r="C1478" s="31" t="s">
        <v>134</v>
      </c>
      <c r="D1478" s="31" t="s">
        <v>808</v>
      </c>
      <c r="E1478" s="31"/>
      <c r="F1478" s="88">
        <f>F1479</f>
        <v>907.6</v>
      </c>
      <c r="G1478" s="88">
        <f>G1479</f>
        <v>0</v>
      </c>
      <c r="H1478" s="258">
        <f t="shared" si="174"/>
        <v>0</v>
      </c>
      <c r="I1478" s="228"/>
      <c r="J1478" s="228"/>
      <c r="K1478" s="228"/>
      <c r="L1478"/>
      <c r="M1478"/>
    </row>
    <row r="1479" spans="1:13" s="44" customFormat="1" x14ac:dyDescent="0.2">
      <c r="A1479" s="36" t="s">
        <v>29</v>
      </c>
      <c r="B1479" s="31" t="s">
        <v>802</v>
      </c>
      <c r="C1479" s="31" t="s">
        <v>134</v>
      </c>
      <c r="D1479" s="31" t="s">
        <v>808</v>
      </c>
      <c r="E1479" s="31" t="s">
        <v>130</v>
      </c>
      <c r="F1479" s="88">
        <f>F1480</f>
        <v>907.6</v>
      </c>
      <c r="G1479" s="88">
        <f>G1480</f>
        <v>0</v>
      </c>
      <c r="H1479" s="258">
        <f t="shared" si="174"/>
        <v>0</v>
      </c>
      <c r="I1479" s="228"/>
      <c r="J1479" s="228"/>
      <c r="K1479" s="228"/>
      <c r="L1479"/>
      <c r="M1479"/>
    </row>
    <row r="1480" spans="1:13" s="44" customFormat="1" x14ac:dyDescent="0.2">
      <c r="A1480" s="36" t="s">
        <v>50</v>
      </c>
      <c r="B1480" s="31" t="s">
        <v>802</v>
      </c>
      <c r="C1480" s="31" t="s">
        <v>134</v>
      </c>
      <c r="D1480" s="31" t="s">
        <v>808</v>
      </c>
      <c r="E1480" s="31" t="s">
        <v>277</v>
      </c>
      <c r="F1480" s="88">
        <v>907.6</v>
      </c>
      <c r="G1480" s="88">
        <v>0</v>
      </c>
      <c r="H1480" s="258">
        <f t="shared" si="174"/>
        <v>0</v>
      </c>
      <c r="I1480" s="228"/>
      <c r="J1480" s="228"/>
      <c r="K1480" s="228"/>
      <c r="L1480"/>
      <c r="M1480"/>
    </row>
    <row r="1481" spans="1:13" s="44" customFormat="1" hidden="1" x14ac:dyDescent="0.2">
      <c r="A1481" s="43" t="s">
        <v>809</v>
      </c>
      <c r="B1481" s="31" t="s">
        <v>802</v>
      </c>
      <c r="C1481" s="31" t="s">
        <v>134</v>
      </c>
      <c r="D1481" s="31" t="s">
        <v>810</v>
      </c>
      <c r="E1481" s="32"/>
      <c r="F1481" s="88">
        <f>F1482</f>
        <v>0</v>
      </c>
      <c r="G1481" s="88">
        <f>G1482</f>
        <v>0</v>
      </c>
      <c r="H1481" s="258" t="e">
        <f t="shared" si="174"/>
        <v>#DIV/0!</v>
      </c>
      <c r="I1481" s="228"/>
      <c r="J1481" s="228"/>
      <c r="K1481" s="228"/>
      <c r="L1481"/>
      <c r="M1481"/>
    </row>
    <row r="1482" spans="1:13" s="44" customFormat="1" hidden="1" x14ac:dyDescent="0.2">
      <c r="A1482" s="36" t="s">
        <v>29</v>
      </c>
      <c r="B1482" s="31" t="s">
        <v>802</v>
      </c>
      <c r="C1482" s="31" t="s">
        <v>134</v>
      </c>
      <c r="D1482" s="31" t="s">
        <v>810</v>
      </c>
      <c r="E1482" s="31" t="s">
        <v>130</v>
      </c>
      <c r="F1482" s="88">
        <f>F1483</f>
        <v>0</v>
      </c>
      <c r="G1482" s="88">
        <f>G1483</f>
        <v>0</v>
      </c>
      <c r="H1482" s="258" t="e">
        <f t="shared" si="174"/>
        <v>#DIV/0!</v>
      </c>
      <c r="I1482" s="228"/>
      <c r="J1482" s="228"/>
      <c r="K1482" s="228"/>
      <c r="L1482"/>
      <c r="M1482"/>
    </row>
    <row r="1483" spans="1:13" s="71" customFormat="1" hidden="1" x14ac:dyDescent="0.2">
      <c r="A1483" s="63" t="s">
        <v>50</v>
      </c>
      <c r="B1483" s="58" t="s">
        <v>802</v>
      </c>
      <c r="C1483" s="58" t="s">
        <v>134</v>
      </c>
      <c r="D1483" s="58" t="s">
        <v>810</v>
      </c>
      <c r="E1483" s="58" t="s">
        <v>277</v>
      </c>
      <c r="F1483" s="66">
        <v>0</v>
      </c>
      <c r="G1483" s="66">
        <v>0</v>
      </c>
      <c r="H1483" s="258" t="e">
        <f t="shared" si="174"/>
        <v>#DIV/0!</v>
      </c>
      <c r="I1483" s="55"/>
      <c r="J1483" s="55"/>
      <c r="K1483" s="55"/>
      <c r="L1483" s="217"/>
      <c r="M1483" s="217"/>
    </row>
    <row r="1484" spans="1:13" s="45" customFormat="1" x14ac:dyDescent="0.2">
      <c r="A1484" s="14" t="s">
        <v>197</v>
      </c>
      <c r="B1484" s="15" t="s">
        <v>802</v>
      </c>
      <c r="C1484" s="15" t="s">
        <v>134</v>
      </c>
      <c r="D1484" s="15" t="s">
        <v>198</v>
      </c>
      <c r="E1484" s="15"/>
      <c r="F1484" s="151">
        <f>F1485+F1488+F1491+F1494+F1500</f>
        <v>92</v>
      </c>
      <c r="G1484" s="151">
        <f>G1485+G1488+G1491+G1494+G1500</f>
        <v>0</v>
      </c>
      <c r="H1484" s="258">
        <f t="shared" si="174"/>
        <v>0</v>
      </c>
      <c r="I1484" s="228"/>
      <c r="J1484" s="228"/>
      <c r="K1484" s="228"/>
      <c r="L1484"/>
      <c r="M1484"/>
    </row>
    <row r="1485" spans="1:13" s="96" customFormat="1" ht="47.25" hidden="1" x14ac:dyDescent="0.2">
      <c r="A1485" s="107" t="s">
        <v>201</v>
      </c>
      <c r="B1485" s="108" t="s">
        <v>802</v>
      </c>
      <c r="C1485" s="108" t="s">
        <v>134</v>
      </c>
      <c r="D1485" s="108" t="s">
        <v>200</v>
      </c>
      <c r="E1485" s="109"/>
      <c r="F1485" s="110">
        <f>F1486</f>
        <v>0</v>
      </c>
      <c r="G1485" s="110">
        <f>G1486</f>
        <v>0</v>
      </c>
      <c r="H1485" s="258" t="e">
        <f t="shared" si="174"/>
        <v>#DIV/0!</v>
      </c>
      <c r="I1485" s="228"/>
      <c r="J1485" s="228"/>
      <c r="K1485" s="228"/>
      <c r="L1485"/>
      <c r="M1485"/>
    </row>
    <row r="1486" spans="1:13" s="113" customFormat="1" hidden="1" x14ac:dyDescent="0.2">
      <c r="A1486" s="112" t="s">
        <v>29</v>
      </c>
      <c r="B1486" s="100" t="s">
        <v>802</v>
      </c>
      <c r="C1486" s="100" t="s">
        <v>134</v>
      </c>
      <c r="D1486" s="100" t="s">
        <v>200</v>
      </c>
      <c r="E1486" s="101">
        <v>800</v>
      </c>
      <c r="F1486" s="97">
        <f>F1487</f>
        <v>0</v>
      </c>
      <c r="G1486" s="97">
        <f>G1487</f>
        <v>0</v>
      </c>
      <c r="H1486" s="258" t="e">
        <f t="shared" si="174"/>
        <v>#DIV/0!</v>
      </c>
      <c r="I1486" s="228"/>
      <c r="J1486" s="228"/>
      <c r="K1486" s="228"/>
      <c r="L1486"/>
      <c r="M1486"/>
    </row>
    <row r="1487" spans="1:13" s="113" customFormat="1" hidden="1" x14ac:dyDescent="0.2">
      <c r="A1487" s="99" t="s">
        <v>50</v>
      </c>
      <c r="B1487" s="100" t="s">
        <v>802</v>
      </c>
      <c r="C1487" s="100" t="s">
        <v>134</v>
      </c>
      <c r="D1487" s="100" t="s">
        <v>200</v>
      </c>
      <c r="E1487" s="101">
        <v>870</v>
      </c>
      <c r="F1487" s="97"/>
      <c r="G1487" s="97"/>
      <c r="H1487" s="258" t="e">
        <f t="shared" si="174"/>
        <v>#DIV/0!</v>
      </c>
      <c r="I1487" s="228"/>
      <c r="J1487" s="228"/>
      <c r="K1487" s="228"/>
      <c r="L1487"/>
      <c r="M1487"/>
    </row>
    <row r="1488" spans="1:13" s="113" customFormat="1" ht="47.25" x14ac:dyDescent="0.2">
      <c r="A1488" s="107" t="s">
        <v>202</v>
      </c>
      <c r="B1488" s="108" t="s">
        <v>802</v>
      </c>
      <c r="C1488" s="108" t="s">
        <v>134</v>
      </c>
      <c r="D1488" s="108" t="s">
        <v>203</v>
      </c>
      <c r="E1488" s="109"/>
      <c r="F1488" s="110">
        <f>F1489</f>
        <v>88.1</v>
      </c>
      <c r="G1488" s="110">
        <f>G1489</f>
        <v>0</v>
      </c>
      <c r="H1488" s="258">
        <f t="shared" si="174"/>
        <v>0</v>
      </c>
      <c r="I1488" s="228"/>
      <c r="J1488" s="228"/>
      <c r="K1488" s="228"/>
      <c r="L1488"/>
      <c r="M1488"/>
    </row>
    <row r="1489" spans="1:13" s="113" customFormat="1" x14ac:dyDescent="0.2">
      <c r="A1489" s="112" t="s">
        <v>29</v>
      </c>
      <c r="B1489" s="100" t="s">
        <v>802</v>
      </c>
      <c r="C1489" s="100" t="s">
        <v>134</v>
      </c>
      <c r="D1489" s="100" t="s">
        <v>203</v>
      </c>
      <c r="E1489" s="101">
        <v>800</v>
      </c>
      <c r="F1489" s="97">
        <f>F1490</f>
        <v>88.1</v>
      </c>
      <c r="G1489" s="97">
        <f>G1490</f>
        <v>0</v>
      </c>
      <c r="H1489" s="258">
        <f t="shared" si="174"/>
        <v>0</v>
      </c>
      <c r="I1489" s="228"/>
      <c r="J1489" s="228"/>
      <c r="K1489" s="228"/>
      <c r="L1489"/>
      <c r="M1489"/>
    </row>
    <row r="1490" spans="1:13" s="113" customFormat="1" x14ac:dyDescent="0.2">
      <c r="A1490" s="99" t="s">
        <v>50</v>
      </c>
      <c r="B1490" s="100" t="s">
        <v>802</v>
      </c>
      <c r="C1490" s="100" t="s">
        <v>134</v>
      </c>
      <c r="D1490" s="100" t="s">
        <v>203</v>
      </c>
      <c r="E1490" s="101">
        <v>870</v>
      </c>
      <c r="F1490" s="97">
        <v>88.1</v>
      </c>
      <c r="G1490" s="97">
        <v>0</v>
      </c>
      <c r="H1490" s="258">
        <f t="shared" si="174"/>
        <v>0</v>
      </c>
      <c r="I1490" s="228"/>
      <c r="J1490" s="228"/>
      <c r="K1490" s="228"/>
      <c r="L1490"/>
      <c r="M1490"/>
    </row>
    <row r="1491" spans="1:13" s="113" customFormat="1" ht="47.25" x14ac:dyDescent="0.2">
      <c r="A1491" s="115" t="s">
        <v>208</v>
      </c>
      <c r="B1491" s="108" t="s">
        <v>802</v>
      </c>
      <c r="C1491" s="108" t="s">
        <v>134</v>
      </c>
      <c r="D1491" s="108" t="s">
        <v>209</v>
      </c>
      <c r="E1491" s="109"/>
      <c r="F1491" s="110">
        <f>F1492</f>
        <v>0.8</v>
      </c>
      <c r="G1491" s="110">
        <f>G1492</f>
        <v>0</v>
      </c>
      <c r="H1491" s="258">
        <f t="shared" si="174"/>
        <v>0</v>
      </c>
      <c r="I1491" s="228"/>
      <c r="J1491" s="228"/>
      <c r="K1491" s="228"/>
      <c r="L1491"/>
      <c r="M1491"/>
    </row>
    <row r="1492" spans="1:13" s="113" customFormat="1" x14ac:dyDescent="0.2">
      <c r="A1492" s="112" t="s">
        <v>29</v>
      </c>
      <c r="B1492" s="100" t="s">
        <v>802</v>
      </c>
      <c r="C1492" s="100" t="s">
        <v>134</v>
      </c>
      <c r="D1492" s="100" t="s">
        <v>209</v>
      </c>
      <c r="E1492" s="101">
        <v>800</v>
      </c>
      <c r="F1492" s="97">
        <f>F1493</f>
        <v>0.8</v>
      </c>
      <c r="G1492" s="97">
        <f>G1493</f>
        <v>0</v>
      </c>
      <c r="H1492" s="258">
        <f t="shared" si="174"/>
        <v>0</v>
      </c>
      <c r="I1492" s="228"/>
      <c r="J1492" s="228"/>
      <c r="K1492" s="228"/>
      <c r="L1492"/>
      <c r="M1492"/>
    </row>
    <row r="1493" spans="1:13" s="113" customFormat="1" x14ac:dyDescent="0.2">
      <c r="A1493" s="99" t="s">
        <v>50</v>
      </c>
      <c r="B1493" s="100" t="s">
        <v>802</v>
      </c>
      <c r="C1493" s="100" t="s">
        <v>134</v>
      </c>
      <c r="D1493" s="100" t="s">
        <v>209</v>
      </c>
      <c r="E1493" s="101">
        <v>870</v>
      </c>
      <c r="F1493" s="97">
        <v>0.8</v>
      </c>
      <c r="G1493" s="97">
        <v>0</v>
      </c>
      <c r="H1493" s="258">
        <f t="shared" si="174"/>
        <v>0</v>
      </c>
      <c r="I1493" s="228"/>
      <c r="J1493" s="228"/>
      <c r="K1493" s="228"/>
      <c r="L1493"/>
      <c r="M1493"/>
    </row>
    <row r="1494" spans="1:13" s="113" customFormat="1" ht="47.25" x14ac:dyDescent="0.2">
      <c r="A1494" s="115" t="s">
        <v>210</v>
      </c>
      <c r="B1494" s="108" t="s">
        <v>802</v>
      </c>
      <c r="C1494" s="108" t="s">
        <v>134</v>
      </c>
      <c r="D1494" s="108" t="s">
        <v>211</v>
      </c>
      <c r="E1494" s="109"/>
      <c r="F1494" s="110">
        <f>F1495</f>
        <v>2.2000000000000002</v>
      </c>
      <c r="G1494" s="110">
        <f>G1495</f>
        <v>0</v>
      </c>
      <c r="H1494" s="258">
        <f t="shared" si="174"/>
        <v>0</v>
      </c>
      <c r="I1494" s="228"/>
      <c r="J1494" s="228"/>
      <c r="K1494" s="228"/>
      <c r="L1494"/>
      <c r="M1494"/>
    </row>
    <row r="1495" spans="1:13" s="113" customFormat="1" x14ac:dyDescent="0.2">
      <c r="A1495" s="112" t="s">
        <v>29</v>
      </c>
      <c r="B1495" s="100" t="s">
        <v>802</v>
      </c>
      <c r="C1495" s="100" t="s">
        <v>134</v>
      </c>
      <c r="D1495" s="100" t="s">
        <v>211</v>
      </c>
      <c r="E1495" s="101">
        <v>800</v>
      </c>
      <c r="F1495" s="97">
        <f>F1496</f>
        <v>2.2000000000000002</v>
      </c>
      <c r="G1495" s="97">
        <f>G1496</f>
        <v>0</v>
      </c>
      <c r="H1495" s="258">
        <f t="shared" si="174"/>
        <v>0</v>
      </c>
      <c r="I1495" s="228"/>
      <c r="J1495" s="228"/>
      <c r="K1495" s="228"/>
      <c r="L1495"/>
      <c r="M1495"/>
    </row>
    <row r="1496" spans="1:13" s="113" customFormat="1" x14ac:dyDescent="0.2">
      <c r="A1496" s="99" t="s">
        <v>50</v>
      </c>
      <c r="B1496" s="100" t="s">
        <v>802</v>
      </c>
      <c r="C1496" s="100" t="s">
        <v>134</v>
      </c>
      <c r="D1496" s="100" t="s">
        <v>211</v>
      </c>
      <c r="E1496" s="101">
        <v>870</v>
      </c>
      <c r="F1496" s="97">
        <v>2.2000000000000002</v>
      </c>
      <c r="G1496" s="97">
        <v>0</v>
      </c>
      <c r="H1496" s="258">
        <f t="shared" si="174"/>
        <v>0</v>
      </c>
      <c r="I1496" s="228"/>
      <c r="J1496" s="228"/>
      <c r="K1496" s="228"/>
      <c r="L1496"/>
      <c r="M1496"/>
    </row>
    <row r="1497" spans="1:13" s="116" customFormat="1" ht="63" hidden="1" x14ac:dyDescent="0.2">
      <c r="A1497" s="112" t="s">
        <v>212</v>
      </c>
      <c r="B1497" s="100" t="s">
        <v>8</v>
      </c>
      <c r="C1497" s="100" t="s">
        <v>134</v>
      </c>
      <c r="D1497" s="100" t="s">
        <v>213</v>
      </c>
      <c r="E1497" s="101"/>
      <c r="F1497" s="97">
        <f>F1498</f>
        <v>0</v>
      </c>
      <c r="G1497" s="97">
        <f>G1498</f>
        <v>0</v>
      </c>
      <c r="H1497" s="258" t="e">
        <f t="shared" si="174"/>
        <v>#DIV/0!</v>
      </c>
      <c r="I1497" s="228"/>
      <c r="J1497" s="228"/>
      <c r="K1497" s="228"/>
      <c r="L1497"/>
      <c r="M1497"/>
    </row>
    <row r="1498" spans="1:13" s="116" customFormat="1" hidden="1" x14ac:dyDescent="0.2">
      <c r="A1498" s="117" t="s">
        <v>29</v>
      </c>
      <c r="B1498" s="100" t="s">
        <v>8</v>
      </c>
      <c r="C1498" s="100" t="s">
        <v>134</v>
      </c>
      <c r="D1498" s="100" t="s">
        <v>213</v>
      </c>
      <c r="E1498" s="101">
        <v>800</v>
      </c>
      <c r="F1498" s="97">
        <f>F1499</f>
        <v>0</v>
      </c>
      <c r="G1498" s="97">
        <f>G1499</f>
        <v>0</v>
      </c>
      <c r="H1498" s="258" t="e">
        <f t="shared" si="174"/>
        <v>#DIV/0!</v>
      </c>
      <c r="I1498" s="228"/>
      <c r="J1498" s="228"/>
      <c r="K1498" s="228"/>
      <c r="L1498"/>
      <c r="M1498"/>
    </row>
    <row r="1499" spans="1:13" s="116" customFormat="1" hidden="1" x14ac:dyDescent="0.2">
      <c r="A1499" s="117" t="s">
        <v>50</v>
      </c>
      <c r="B1499" s="100" t="s">
        <v>8</v>
      </c>
      <c r="C1499" s="100" t="s">
        <v>134</v>
      </c>
      <c r="D1499" s="100" t="s">
        <v>213</v>
      </c>
      <c r="E1499" s="101">
        <v>870</v>
      </c>
      <c r="F1499" s="97">
        <f>4.7-4.7</f>
        <v>0</v>
      </c>
      <c r="G1499" s="97">
        <f>4.7-4.7</f>
        <v>0</v>
      </c>
      <c r="H1499" s="258" t="e">
        <f t="shared" si="174"/>
        <v>#DIV/0!</v>
      </c>
      <c r="I1499" s="228"/>
      <c r="J1499" s="228"/>
      <c r="K1499" s="228"/>
      <c r="L1499"/>
      <c r="M1499"/>
    </row>
    <row r="1500" spans="1:13" s="102" customFormat="1" ht="63" x14ac:dyDescent="0.2">
      <c r="A1500" s="118" t="s">
        <v>214</v>
      </c>
      <c r="B1500" s="108" t="s">
        <v>802</v>
      </c>
      <c r="C1500" s="108" t="s">
        <v>134</v>
      </c>
      <c r="D1500" s="108" t="s">
        <v>215</v>
      </c>
      <c r="E1500" s="109"/>
      <c r="F1500" s="110">
        <f>F1501</f>
        <v>0.9</v>
      </c>
      <c r="G1500" s="110">
        <f>G1501</f>
        <v>0</v>
      </c>
      <c r="H1500" s="258">
        <f t="shared" si="174"/>
        <v>0</v>
      </c>
      <c r="I1500" s="228"/>
      <c r="J1500" s="228"/>
      <c r="K1500" s="228"/>
      <c r="L1500"/>
      <c r="M1500"/>
    </row>
    <row r="1501" spans="1:13" s="116" customFormat="1" x14ac:dyDescent="0.2">
      <c r="A1501" s="117" t="s">
        <v>29</v>
      </c>
      <c r="B1501" s="100" t="s">
        <v>802</v>
      </c>
      <c r="C1501" s="100" t="s">
        <v>134</v>
      </c>
      <c r="D1501" s="100" t="s">
        <v>215</v>
      </c>
      <c r="E1501" s="101">
        <v>800</v>
      </c>
      <c r="F1501" s="97">
        <f>F1502</f>
        <v>0.9</v>
      </c>
      <c r="G1501" s="97">
        <f>G1502</f>
        <v>0</v>
      </c>
      <c r="H1501" s="258">
        <f t="shared" si="174"/>
        <v>0</v>
      </c>
      <c r="I1501" s="228"/>
      <c r="J1501" s="228"/>
      <c r="K1501" s="228"/>
      <c r="L1501"/>
      <c r="M1501"/>
    </row>
    <row r="1502" spans="1:13" s="116" customFormat="1" x14ac:dyDescent="0.2">
      <c r="A1502" s="117" t="s">
        <v>50</v>
      </c>
      <c r="B1502" s="100" t="s">
        <v>802</v>
      </c>
      <c r="C1502" s="100" t="s">
        <v>134</v>
      </c>
      <c r="D1502" s="100" t="s">
        <v>215</v>
      </c>
      <c r="E1502" s="101">
        <v>870</v>
      </c>
      <c r="F1502" s="97">
        <v>0.9</v>
      </c>
      <c r="G1502" s="97">
        <v>0</v>
      </c>
      <c r="H1502" s="258">
        <f t="shared" si="174"/>
        <v>0</v>
      </c>
      <c r="I1502" s="228"/>
      <c r="J1502" s="228"/>
      <c r="K1502" s="228"/>
      <c r="L1502"/>
      <c r="M1502"/>
    </row>
    <row r="1503" spans="1:13" s="60" customFormat="1" x14ac:dyDescent="0.2">
      <c r="A1503" s="127" t="s">
        <v>216</v>
      </c>
      <c r="B1503" s="54" t="s">
        <v>802</v>
      </c>
      <c r="C1503" s="53" t="s">
        <v>217</v>
      </c>
      <c r="D1503" s="54"/>
      <c r="E1503" s="54"/>
      <c r="F1503" s="203">
        <f t="shared" ref="F1503:G1509" si="176">F1504</f>
        <v>877</v>
      </c>
      <c r="G1503" s="203">
        <f t="shared" si="176"/>
        <v>623.4</v>
      </c>
      <c r="H1503" s="258">
        <f t="shared" si="174"/>
        <v>0.71083238312428731</v>
      </c>
      <c r="I1503" s="55"/>
      <c r="J1503" s="55"/>
      <c r="K1503" s="55"/>
      <c r="L1503" s="217"/>
      <c r="M1503" s="217"/>
    </row>
    <row r="1504" spans="1:13" s="45" customFormat="1" ht="16.5" customHeight="1" x14ac:dyDescent="0.2">
      <c r="A1504" s="33" t="s">
        <v>811</v>
      </c>
      <c r="B1504" s="34" t="s">
        <v>802</v>
      </c>
      <c r="C1504" s="34" t="s">
        <v>812</v>
      </c>
      <c r="D1504" s="34"/>
      <c r="E1504" s="41"/>
      <c r="F1504" s="35">
        <f t="shared" si="176"/>
        <v>877</v>
      </c>
      <c r="G1504" s="35">
        <f t="shared" si="176"/>
        <v>623.4</v>
      </c>
      <c r="H1504" s="258">
        <f t="shared" si="174"/>
        <v>0.71083238312428731</v>
      </c>
      <c r="I1504" s="228"/>
      <c r="J1504" s="228"/>
      <c r="K1504" s="228"/>
      <c r="L1504"/>
      <c r="M1504"/>
    </row>
    <row r="1505" spans="1:13" s="5" customFormat="1" ht="63" x14ac:dyDescent="0.2">
      <c r="A1505" s="36" t="s">
        <v>813</v>
      </c>
      <c r="B1505" s="31" t="s">
        <v>802</v>
      </c>
      <c r="C1505" s="31" t="s">
        <v>812</v>
      </c>
      <c r="D1505" s="31" t="s">
        <v>814</v>
      </c>
      <c r="E1505" s="31"/>
      <c r="F1505" s="88">
        <f t="shared" si="176"/>
        <v>877</v>
      </c>
      <c r="G1505" s="88">
        <f t="shared" si="176"/>
        <v>623.4</v>
      </c>
      <c r="H1505" s="258">
        <f t="shared" si="174"/>
        <v>0.71083238312428731</v>
      </c>
      <c r="I1505" s="228"/>
      <c r="J1505" s="228"/>
      <c r="K1505" s="228"/>
      <c r="L1505"/>
      <c r="M1505"/>
    </row>
    <row r="1506" spans="1:13" s="45" customFormat="1" ht="31.5" customHeight="1" x14ac:dyDescent="0.2">
      <c r="A1506" s="36" t="s">
        <v>815</v>
      </c>
      <c r="B1506" s="31" t="s">
        <v>802</v>
      </c>
      <c r="C1506" s="31" t="s">
        <v>812</v>
      </c>
      <c r="D1506" s="31" t="s">
        <v>816</v>
      </c>
      <c r="E1506" s="31"/>
      <c r="F1506" s="88">
        <f t="shared" si="176"/>
        <v>877</v>
      </c>
      <c r="G1506" s="88">
        <f t="shared" si="176"/>
        <v>623.4</v>
      </c>
      <c r="H1506" s="258">
        <f t="shared" si="174"/>
        <v>0.71083238312428731</v>
      </c>
      <c r="I1506" s="228"/>
      <c r="J1506" s="228"/>
      <c r="K1506" s="228"/>
      <c r="L1506"/>
      <c r="M1506"/>
    </row>
    <row r="1507" spans="1:13" s="45" customFormat="1" ht="79.150000000000006" customHeight="1" x14ac:dyDescent="0.2">
      <c r="A1507" s="36" t="s">
        <v>817</v>
      </c>
      <c r="B1507" s="31" t="s">
        <v>802</v>
      </c>
      <c r="C1507" s="31" t="s">
        <v>812</v>
      </c>
      <c r="D1507" s="31" t="s">
        <v>818</v>
      </c>
      <c r="E1507" s="31"/>
      <c r="F1507" s="88">
        <f>F1508</f>
        <v>877</v>
      </c>
      <c r="G1507" s="88">
        <f>G1508</f>
        <v>623.4</v>
      </c>
      <c r="H1507" s="258">
        <f t="shared" si="174"/>
        <v>0.71083238312428731</v>
      </c>
      <c r="I1507" s="228"/>
      <c r="J1507" s="228"/>
      <c r="K1507" s="228"/>
      <c r="L1507"/>
      <c r="M1507"/>
    </row>
    <row r="1508" spans="1:13" s="45" customFormat="1" ht="31.5" x14ac:dyDescent="0.2">
      <c r="A1508" s="36" t="s">
        <v>819</v>
      </c>
      <c r="B1508" s="31" t="s">
        <v>802</v>
      </c>
      <c r="C1508" s="31" t="s">
        <v>812</v>
      </c>
      <c r="D1508" s="31" t="s">
        <v>820</v>
      </c>
      <c r="E1508" s="31"/>
      <c r="F1508" s="88">
        <f>F1509</f>
        <v>877</v>
      </c>
      <c r="G1508" s="88">
        <f>G1509</f>
        <v>623.4</v>
      </c>
      <c r="H1508" s="258">
        <f t="shared" si="174"/>
        <v>0.71083238312428731</v>
      </c>
      <c r="I1508" s="228"/>
      <c r="J1508" s="228"/>
      <c r="K1508" s="228"/>
      <c r="L1508"/>
      <c r="M1508"/>
    </row>
    <row r="1509" spans="1:13" s="45" customFormat="1" ht="21" customHeight="1" x14ac:dyDescent="0.2">
      <c r="A1509" s="36" t="s">
        <v>821</v>
      </c>
      <c r="B1509" s="31" t="s">
        <v>802</v>
      </c>
      <c r="C1509" s="31" t="s">
        <v>812</v>
      </c>
      <c r="D1509" s="31" t="s">
        <v>820</v>
      </c>
      <c r="E1509" s="31" t="s">
        <v>137</v>
      </c>
      <c r="F1509" s="88">
        <f t="shared" si="176"/>
        <v>877</v>
      </c>
      <c r="G1509" s="88">
        <f t="shared" si="176"/>
        <v>623.4</v>
      </c>
      <c r="H1509" s="258">
        <f t="shared" si="174"/>
        <v>0.71083238312428731</v>
      </c>
      <c r="I1509" s="228"/>
      <c r="J1509" s="228"/>
      <c r="K1509" s="228"/>
      <c r="L1509"/>
      <c r="M1509"/>
    </row>
    <row r="1510" spans="1:13" s="5" customFormat="1" x14ac:dyDescent="0.2">
      <c r="A1510" s="36" t="s">
        <v>822</v>
      </c>
      <c r="B1510" s="31" t="s">
        <v>802</v>
      </c>
      <c r="C1510" s="31" t="s">
        <v>812</v>
      </c>
      <c r="D1510" s="31" t="s">
        <v>820</v>
      </c>
      <c r="E1510" s="31" t="s">
        <v>823</v>
      </c>
      <c r="F1510" s="88">
        <v>877</v>
      </c>
      <c r="G1510" s="88">
        <v>623.4</v>
      </c>
      <c r="H1510" s="258">
        <f t="shared" si="174"/>
        <v>0.71083238312428731</v>
      </c>
      <c r="I1510" s="228"/>
      <c r="J1510" s="228"/>
      <c r="K1510" s="228"/>
      <c r="L1510"/>
      <c r="M1510"/>
    </row>
    <row r="1511" spans="1:13" s="28" customFormat="1" ht="31.5" x14ac:dyDescent="0.2">
      <c r="A1511" s="23" t="s">
        <v>824</v>
      </c>
      <c r="B1511" s="24" t="s">
        <v>802</v>
      </c>
      <c r="C1511" s="15" t="s">
        <v>225</v>
      </c>
      <c r="D1511" s="24"/>
      <c r="E1511" s="24"/>
      <c r="F1511" s="16">
        <f>F1512</f>
        <v>358.7</v>
      </c>
      <c r="G1511" s="16">
        <f>G1512</f>
        <v>66</v>
      </c>
      <c r="H1511" s="258">
        <f t="shared" si="174"/>
        <v>0.18399776972400336</v>
      </c>
      <c r="I1511" s="228"/>
      <c r="J1511" s="228"/>
      <c r="K1511" s="228"/>
      <c r="L1511"/>
      <c r="M1511"/>
    </row>
    <row r="1512" spans="1:13" s="5" customFormat="1" ht="47.25" x14ac:dyDescent="0.2">
      <c r="A1512" s="33" t="s">
        <v>226</v>
      </c>
      <c r="B1512" s="34" t="s">
        <v>802</v>
      </c>
      <c r="C1512" s="34" t="s">
        <v>227</v>
      </c>
      <c r="D1512" s="34"/>
      <c r="E1512" s="41"/>
      <c r="F1512" s="35">
        <f>F1513+F1517</f>
        <v>358.7</v>
      </c>
      <c r="G1512" s="35">
        <f>G1513+G1517</f>
        <v>66</v>
      </c>
      <c r="H1512" s="258">
        <f t="shared" si="174"/>
        <v>0.18399776972400336</v>
      </c>
      <c r="I1512" s="228"/>
      <c r="J1512" s="228"/>
      <c r="K1512" s="228"/>
      <c r="L1512"/>
      <c r="M1512"/>
    </row>
    <row r="1513" spans="1:13" s="5" customFormat="1" hidden="1" x14ac:dyDescent="0.2">
      <c r="A1513" s="33" t="s">
        <v>33</v>
      </c>
      <c r="B1513" s="34" t="s">
        <v>802</v>
      </c>
      <c r="C1513" s="34" t="s">
        <v>227</v>
      </c>
      <c r="D1513" s="34" t="s">
        <v>34</v>
      </c>
      <c r="E1513" s="41"/>
      <c r="F1513" s="35">
        <f t="shared" ref="F1513:G1515" si="177">F1514</f>
        <v>0</v>
      </c>
      <c r="G1513" s="35">
        <f t="shared" si="177"/>
        <v>0</v>
      </c>
      <c r="H1513" s="258" t="e">
        <f t="shared" ref="H1513:H1576" si="178">G1513/F1513</f>
        <v>#DIV/0!</v>
      </c>
      <c r="I1513" s="228"/>
      <c r="J1513" s="228"/>
      <c r="K1513" s="228"/>
      <c r="L1513"/>
      <c r="M1513"/>
    </row>
    <row r="1514" spans="1:13" s="5" customFormat="1" ht="31.5" hidden="1" x14ac:dyDescent="0.2">
      <c r="A1514" s="85" t="s">
        <v>70</v>
      </c>
      <c r="B1514" s="31" t="s">
        <v>802</v>
      </c>
      <c r="C1514" s="31" t="s">
        <v>227</v>
      </c>
      <c r="D1514" s="40" t="s">
        <v>35</v>
      </c>
      <c r="E1514" s="41"/>
      <c r="F1514" s="35">
        <f t="shared" si="177"/>
        <v>0</v>
      </c>
      <c r="G1514" s="35">
        <f t="shared" si="177"/>
        <v>0</v>
      </c>
      <c r="H1514" s="258" t="e">
        <f t="shared" si="178"/>
        <v>#DIV/0!</v>
      </c>
      <c r="I1514" s="228"/>
      <c r="J1514" s="228"/>
      <c r="K1514" s="228"/>
      <c r="L1514"/>
      <c r="M1514"/>
    </row>
    <row r="1515" spans="1:13" s="5" customFormat="1" hidden="1" x14ac:dyDescent="0.2">
      <c r="A1515" s="36" t="s">
        <v>821</v>
      </c>
      <c r="B1515" s="31" t="s">
        <v>802</v>
      </c>
      <c r="C1515" s="31" t="s">
        <v>227</v>
      </c>
      <c r="D1515" s="31" t="s">
        <v>35</v>
      </c>
      <c r="E1515" s="32">
        <v>500</v>
      </c>
      <c r="F1515" s="29">
        <f t="shared" si="177"/>
        <v>0</v>
      </c>
      <c r="G1515" s="29">
        <f t="shared" si="177"/>
        <v>0</v>
      </c>
      <c r="H1515" s="258" t="e">
        <f t="shared" si="178"/>
        <v>#DIV/0!</v>
      </c>
      <c r="I1515" s="228"/>
      <c r="J1515" s="228"/>
      <c r="K1515" s="228"/>
      <c r="L1515"/>
      <c r="M1515"/>
    </row>
    <row r="1516" spans="1:13" s="5" customFormat="1" hidden="1" x14ac:dyDescent="0.2">
      <c r="A1516" s="36" t="s">
        <v>825</v>
      </c>
      <c r="B1516" s="31" t="s">
        <v>802</v>
      </c>
      <c r="C1516" s="31" t="s">
        <v>227</v>
      </c>
      <c r="D1516" s="31" t="s">
        <v>35</v>
      </c>
      <c r="E1516" s="32">
        <v>540</v>
      </c>
      <c r="F1516" s="29"/>
      <c r="G1516" s="29"/>
      <c r="H1516" s="258" t="e">
        <f t="shared" si="178"/>
        <v>#DIV/0!</v>
      </c>
      <c r="I1516" s="228"/>
      <c r="J1516" s="228"/>
      <c r="K1516" s="228"/>
      <c r="L1516"/>
      <c r="M1516"/>
    </row>
    <row r="1517" spans="1:13" s="5" customFormat="1" ht="47.25" x14ac:dyDescent="0.2">
      <c r="A1517" s="14" t="s">
        <v>228</v>
      </c>
      <c r="B1517" s="15" t="s">
        <v>802</v>
      </c>
      <c r="C1517" s="15" t="s">
        <v>227</v>
      </c>
      <c r="D1517" s="15" t="s">
        <v>229</v>
      </c>
      <c r="E1517" s="15"/>
      <c r="F1517" s="151">
        <f>F1518</f>
        <v>358.7</v>
      </c>
      <c r="G1517" s="151">
        <f>G1518</f>
        <v>66</v>
      </c>
      <c r="H1517" s="258">
        <f t="shared" si="178"/>
        <v>0.18399776972400336</v>
      </c>
      <c r="I1517" s="228"/>
      <c r="J1517" s="228"/>
      <c r="K1517" s="228"/>
      <c r="L1517"/>
      <c r="M1517"/>
    </row>
    <row r="1518" spans="1:13" s="5" customFormat="1" ht="47.25" x14ac:dyDescent="0.2">
      <c r="A1518" s="36" t="s">
        <v>230</v>
      </c>
      <c r="B1518" s="31" t="s">
        <v>802</v>
      </c>
      <c r="C1518" s="31" t="s">
        <v>227</v>
      </c>
      <c r="D1518" s="31" t="s">
        <v>231</v>
      </c>
      <c r="E1518" s="31"/>
      <c r="F1518" s="88">
        <f>F1519+F1521</f>
        <v>358.7</v>
      </c>
      <c r="G1518" s="88">
        <f>G1519+G1521</f>
        <v>66</v>
      </c>
      <c r="H1518" s="258">
        <f t="shared" si="178"/>
        <v>0.18399776972400336</v>
      </c>
      <c r="I1518" s="228"/>
      <c r="J1518" s="228"/>
      <c r="K1518" s="228"/>
      <c r="L1518"/>
      <c r="M1518"/>
    </row>
    <row r="1519" spans="1:13" s="5" customFormat="1" x14ac:dyDescent="0.2">
      <c r="A1519" s="36" t="s">
        <v>821</v>
      </c>
      <c r="B1519" s="31" t="s">
        <v>802</v>
      </c>
      <c r="C1519" s="31" t="s">
        <v>227</v>
      </c>
      <c r="D1519" s="31" t="s">
        <v>231</v>
      </c>
      <c r="E1519" s="31" t="s">
        <v>137</v>
      </c>
      <c r="F1519" s="88">
        <f>F1520</f>
        <v>66</v>
      </c>
      <c r="G1519" s="88">
        <f>G1520</f>
        <v>66</v>
      </c>
      <c r="H1519" s="258">
        <f t="shared" si="178"/>
        <v>1</v>
      </c>
      <c r="I1519" s="228"/>
      <c r="J1519" s="228"/>
      <c r="K1519" s="228"/>
      <c r="L1519"/>
      <c r="M1519"/>
    </row>
    <row r="1520" spans="1:13" s="5" customFormat="1" x14ac:dyDescent="0.2">
      <c r="A1520" s="36" t="s">
        <v>825</v>
      </c>
      <c r="B1520" s="31" t="s">
        <v>802</v>
      </c>
      <c r="C1520" s="31" t="s">
        <v>227</v>
      </c>
      <c r="D1520" s="31" t="s">
        <v>231</v>
      </c>
      <c r="E1520" s="31" t="s">
        <v>826</v>
      </c>
      <c r="F1520" s="88">
        <v>66</v>
      </c>
      <c r="G1520" s="88">
        <v>66</v>
      </c>
      <c r="H1520" s="258">
        <f t="shared" si="178"/>
        <v>1</v>
      </c>
      <c r="I1520" s="228"/>
      <c r="J1520" s="228"/>
      <c r="K1520" s="228"/>
      <c r="L1520"/>
      <c r="M1520"/>
    </row>
    <row r="1521" spans="1:13" s="5" customFormat="1" x14ac:dyDescent="0.2">
      <c r="A1521" s="36" t="s">
        <v>29</v>
      </c>
      <c r="B1521" s="31" t="s">
        <v>802</v>
      </c>
      <c r="C1521" s="31" t="s">
        <v>227</v>
      </c>
      <c r="D1521" s="31" t="s">
        <v>231</v>
      </c>
      <c r="E1521" s="31" t="s">
        <v>130</v>
      </c>
      <c r="F1521" s="88">
        <f>F1522</f>
        <v>292.7</v>
      </c>
      <c r="G1521" s="88">
        <f>G1522</f>
        <v>0</v>
      </c>
      <c r="H1521" s="258">
        <f t="shared" si="178"/>
        <v>0</v>
      </c>
      <c r="I1521" s="228"/>
      <c r="J1521" s="228"/>
      <c r="K1521" s="228"/>
      <c r="L1521"/>
      <c r="M1521"/>
    </row>
    <row r="1522" spans="1:13" s="5" customFormat="1" ht="16.149999999999999" customHeight="1" x14ac:dyDescent="0.2">
      <c r="A1522" s="36" t="s">
        <v>50</v>
      </c>
      <c r="B1522" s="31" t="s">
        <v>802</v>
      </c>
      <c r="C1522" s="31" t="s">
        <v>227</v>
      </c>
      <c r="D1522" s="31" t="s">
        <v>231</v>
      </c>
      <c r="E1522" s="31" t="s">
        <v>277</v>
      </c>
      <c r="F1522" s="149">
        <v>292.7</v>
      </c>
      <c r="G1522" s="149">
        <v>0</v>
      </c>
      <c r="H1522" s="258">
        <f t="shared" si="178"/>
        <v>0</v>
      </c>
      <c r="I1522" s="228"/>
      <c r="J1522" s="228"/>
      <c r="K1522" s="228"/>
      <c r="L1522"/>
      <c r="M1522"/>
    </row>
    <row r="1523" spans="1:13" s="26" customFormat="1" ht="19.149999999999999" customHeight="1" x14ac:dyDescent="0.2">
      <c r="A1523" s="127" t="s">
        <v>234</v>
      </c>
      <c r="B1523" s="54" t="s">
        <v>802</v>
      </c>
      <c r="C1523" s="53" t="s">
        <v>235</v>
      </c>
      <c r="D1523" s="54"/>
      <c r="E1523" s="54"/>
      <c r="F1523" s="203">
        <f>F1524+F1537+F1572</f>
        <v>28550.6</v>
      </c>
      <c r="G1523" s="203">
        <f>G1524+G1537+G1572</f>
        <v>28527.5</v>
      </c>
      <c r="H1523" s="258">
        <f t="shared" si="178"/>
        <v>0.99919091017351658</v>
      </c>
      <c r="I1523" s="228"/>
      <c r="J1523" s="228"/>
      <c r="K1523" s="228"/>
      <c r="L1523"/>
      <c r="M1523"/>
    </row>
    <row r="1524" spans="1:13" s="26" customFormat="1" ht="30.6" hidden="1" customHeight="1" x14ac:dyDescent="0.2">
      <c r="A1524" s="127" t="s">
        <v>827</v>
      </c>
      <c r="B1524" s="54">
        <v>992</v>
      </c>
      <c r="C1524" s="53" t="s">
        <v>247</v>
      </c>
      <c r="D1524" s="54" t="s">
        <v>249</v>
      </c>
      <c r="E1524" s="54"/>
      <c r="F1524" s="203">
        <f>F1525</f>
        <v>0</v>
      </c>
      <c r="G1524" s="203">
        <f>G1525</f>
        <v>0</v>
      </c>
      <c r="H1524" s="258" t="e">
        <f t="shared" si="178"/>
        <v>#DIV/0!</v>
      </c>
      <c r="I1524" s="228"/>
      <c r="J1524" s="228"/>
      <c r="K1524" s="228"/>
      <c r="L1524"/>
      <c r="M1524"/>
    </row>
    <row r="1525" spans="1:13" s="55" customFormat="1" ht="31.5" hidden="1" x14ac:dyDescent="0.2">
      <c r="A1525" s="103" t="s">
        <v>828</v>
      </c>
      <c r="B1525" s="59">
        <v>992</v>
      </c>
      <c r="C1525" s="58" t="s">
        <v>247</v>
      </c>
      <c r="D1525" s="59" t="s">
        <v>829</v>
      </c>
      <c r="E1525" s="59"/>
      <c r="F1525" s="51">
        <f>F1526+F1530</f>
        <v>0</v>
      </c>
      <c r="G1525" s="51">
        <f>G1526+G1530</f>
        <v>0</v>
      </c>
      <c r="H1525" s="258" t="e">
        <f t="shared" si="178"/>
        <v>#DIV/0!</v>
      </c>
      <c r="I1525" s="228"/>
      <c r="J1525" s="228"/>
      <c r="K1525" s="228"/>
      <c r="L1525"/>
      <c r="M1525"/>
    </row>
    <row r="1526" spans="1:13" s="55" customFormat="1" ht="47.25" hidden="1" x14ac:dyDescent="0.2">
      <c r="A1526" s="103" t="s">
        <v>830</v>
      </c>
      <c r="B1526" s="59">
        <v>992</v>
      </c>
      <c r="C1526" s="58" t="s">
        <v>247</v>
      </c>
      <c r="D1526" s="59" t="s">
        <v>831</v>
      </c>
      <c r="E1526" s="59"/>
      <c r="F1526" s="51">
        <f t="shared" ref="F1526:G1528" si="179">F1527</f>
        <v>0</v>
      </c>
      <c r="G1526" s="51">
        <f t="shared" si="179"/>
        <v>0</v>
      </c>
      <c r="H1526" s="258" t="e">
        <f t="shared" si="178"/>
        <v>#DIV/0!</v>
      </c>
      <c r="I1526" s="228"/>
      <c r="J1526" s="228"/>
      <c r="K1526" s="228"/>
      <c r="L1526"/>
      <c r="M1526"/>
    </row>
    <row r="1527" spans="1:13" s="55" customFormat="1" ht="47.25" hidden="1" x14ac:dyDescent="0.2">
      <c r="A1527" s="103" t="s">
        <v>832</v>
      </c>
      <c r="B1527" s="59">
        <v>992</v>
      </c>
      <c r="C1527" s="58" t="s">
        <v>247</v>
      </c>
      <c r="D1527" s="59" t="s">
        <v>833</v>
      </c>
      <c r="E1527" s="59"/>
      <c r="F1527" s="51">
        <f t="shared" si="179"/>
        <v>0</v>
      </c>
      <c r="G1527" s="51">
        <f t="shared" si="179"/>
        <v>0</v>
      </c>
      <c r="H1527" s="258" t="e">
        <f t="shared" si="178"/>
        <v>#DIV/0!</v>
      </c>
      <c r="I1527" s="228"/>
      <c r="J1527" s="228"/>
      <c r="K1527" s="228"/>
      <c r="L1527"/>
      <c r="M1527"/>
    </row>
    <row r="1528" spans="1:13" s="55" customFormat="1" hidden="1" x14ac:dyDescent="0.2">
      <c r="A1528" s="63" t="s">
        <v>821</v>
      </c>
      <c r="B1528" s="59">
        <v>992</v>
      </c>
      <c r="C1528" s="58" t="s">
        <v>247</v>
      </c>
      <c r="D1528" s="59" t="s">
        <v>833</v>
      </c>
      <c r="E1528" s="59">
        <v>500</v>
      </c>
      <c r="F1528" s="51">
        <f t="shared" si="179"/>
        <v>0</v>
      </c>
      <c r="G1528" s="51">
        <f t="shared" si="179"/>
        <v>0</v>
      </c>
      <c r="H1528" s="258" t="e">
        <f t="shared" si="178"/>
        <v>#DIV/0!</v>
      </c>
      <c r="I1528" s="228"/>
      <c r="J1528" s="228"/>
      <c r="K1528" s="228"/>
      <c r="L1528"/>
      <c r="M1528"/>
    </row>
    <row r="1529" spans="1:13" s="55" customFormat="1" hidden="1" x14ac:dyDescent="0.2">
      <c r="A1529" s="63" t="s">
        <v>825</v>
      </c>
      <c r="B1529" s="59">
        <v>992</v>
      </c>
      <c r="C1529" s="58" t="s">
        <v>247</v>
      </c>
      <c r="D1529" s="59" t="s">
        <v>833</v>
      </c>
      <c r="E1529" s="59">
        <v>540</v>
      </c>
      <c r="F1529" s="51"/>
      <c r="G1529" s="51"/>
      <c r="H1529" s="258" t="e">
        <f t="shared" si="178"/>
        <v>#DIV/0!</v>
      </c>
      <c r="I1529" s="228"/>
      <c r="J1529" s="228"/>
      <c r="K1529" s="228"/>
      <c r="L1529"/>
      <c r="M1529"/>
    </row>
    <row r="1530" spans="1:13" s="55" customFormat="1" ht="47.25" hidden="1" x14ac:dyDescent="0.2">
      <c r="A1530" s="103" t="s">
        <v>834</v>
      </c>
      <c r="B1530" s="59">
        <v>992</v>
      </c>
      <c r="C1530" s="58" t="s">
        <v>247</v>
      </c>
      <c r="D1530" s="59" t="s">
        <v>835</v>
      </c>
      <c r="E1530" s="59"/>
      <c r="F1530" s="51">
        <f>F1531+F1534</f>
        <v>0</v>
      </c>
      <c r="G1530" s="51">
        <f>G1531+G1534</f>
        <v>0</v>
      </c>
      <c r="H1530" s="258" t="e">
        <f t="shared" si="178"/>
        <v>#DIV/0!</v>
      </c>
      <c r="I1530" s="228"/>
      <c r="J1530" s="228"/>
      <c r="K1530" s="228"/>
      <c r="L1530"/>
      <c r="M1530"/>
    </row>
    <row r="1531" spans="1:13" s="55" customFormat="1" hidden="1" x14ac:dyDescent="0.2">
      <c r="A1531" s="103" t="s">
        <v>836</v>
      </c>
      <c r="B1531" s="59">
        <v>992</v>
      </c>
      <c r="C1531" s="58" t="s">
        <v>247</v>
      </c>
      <c r="D1531" s="59" t="s">
        <v>837</v>
      </c>
      <c r="E1531" s="59"/>
      <c r="F1531" s="51">
        <f>F1532</f>
        <v>0</v>
      </c>
      <c r="G1531" s="51">
        <f>G1532</f>
        <v>0</v>
      </c>
      <c r="H1531" s="258" t="e">
        <f t="shared" si="178"/>
        <v>#DIV/0!</v>
      </c>
      <c r="I1531" s="228"/>
      <c r="J1531" s="228"/>
      <c r="K1531" s="228"/>
      <c r="L1531"/>
      <c r="M1531"/>
    </row>
    <row r="1532" spans="1:13" s="55" customFormat="1" hidden="1" x14ac:dyDescent="0.2">
      <c r="A1532" s="63" t="s">
        <v>821</v>
      </c>
      <c r="B1532" s="59">
        <v>992</v>
      </c>
      <c r="C1532" s="58" t="s">
        <v>247</v>
      </c>
      <c r="D1532" s="59" t="s">
        <v>837</v>
      </c>
      <c r="E1532" s="59">
        <v>500</v>
      </c>
      <c r="F1532" s="51">
        <f>F1533</f>
        <v>0</v>
      </c>
      <c r="G1532" s="51">
        <f>G1533</f>
        <v>0</v>
      </c>
      <c r="H1532" s="258" t="e">
        <f t="shared" si="178"/>
        <v>#DIV/0!</v>
      </c>
      <c r="I1532" s="228"/>
      <c r="J1532" s="228"/>
      <c r="K1532" s="228"/>
      <c r="L1532"/>
      <c r="M1532"/>
    </row>
    <row r="1533" spans="1:13" s="55" customFormat="1" hidden="1" x14ac:dyDescent="0.2">
      <c r="A1533" s="63" t="s">
        <v>825</v>
      </c>
      <c r="B1533" s="59">
        <v>992</v>
      </c>
      <c r="C1533" s="58" t="s">
        <v>247</v>
      </c>
      <c r="D1533" s="59" t="s">
        <v>837</v>
      </c>
      <c r="E1533" s="59">
        <v>540</v>
      </c>
      <c r="F1533" s="51"/>
      <c r="G1533" s="51"/>
      <c r="H1533" s="258" t="e">
        <f t="shared" si="178"/>
        <v>#DIV/0!</v>
      </c>
      <c r="I1533" s="228"/>
      <c r="J1533" s="228"/>
      <c r="K1533" s="228"/>
      <c r="L1533"/>
      <c r="M1533"/>
    </row>
    <row r="1534" spans="1:13" s="55" customFormat="1" hidden="1" x14ac:dyDescent="0.2">
      <c r="A1534" s="63" t="s">
        <v>836</v>
      </c>
      <c r="B1534" s="59">
        <v>992</v>
      </c>
      <c r="C1534" s="58" t="s">
        <v>247</v>
      </c>
      <c r="D1534" s="59" t="s">
        <v>838</v>
      </c>
      <c r="E1534" s="59"/>
      <c r="F1534" s="51">
        <f>F1535</f>
        <v>0</v>
      </c>
      <c r="G1534" s="51">
        <f>G1535</f>
        <v>0</v>
      </c>
      <c r="H1534" s="258" t="e">
        <f t="shared" si="178"/>
        <v>#DIV/0!</v>
      </c>
      <c r="I1534" s="228"/>
      <c r="J1534" s="228"/>
      <c r="K1534" s="228"/>
      <c r="L1534"/>
      <c r="M1534"/>
    </row>
    <row r="1535" spans="1:13" s="55" customFormat="1" hidden="1" x14ac:dyDescent="0.2">
      <c r="A1535" s="63" t="s">
        <v>821</v>
      </c>
      <c r="B1535" s="59">
        <v>992</v>
      </c>
      <c r="C1535" s="58" t="s">
        <v>247</v>
      </c>
      <c r="D1535" s="59" t="s">
        <v>838</v>
      </c>
      <c r="E1535" s="59">
        <v>500</v>
      </c>
      <c r="F1535" s="51">
        <f>F1536</f>
        <v>0</v>
      </c>
      <c r="G1535" s="51">
        <f>G1536</f>
        <v>0</v>
      </c>
      <c r="H1535" s="258" t="e">
        <f t="shared" si="178"/>
        <v>#DIV/0!</v>
      </c>
      <c r="I1535" s="228"/>
      <c r="J1535" s="228"/>
      <c r="K1535" s="228"/>
      <c r="L1535"/>
      <c r="M1535"/>
    </row>
    <row r="1536" spans="1:13" s="55" customFormat="1" hidden="1" x14ac:dyDescent="0.2">
      <c r="A1536" s="63" t="s">
        <v>825</v>
      </c>
      <c r="B1536" s="59">
        <v>992</v>
      </c>
      <c r="C1536" s="58" t="s">
        <v>247</v>
      </c>
      <c r="D1536" s="59" t="s">
        <v>838</v>
      </c>
      <c r="E1536" s="59">
        <v>540</v>
      </c>
      <c r="F1536" s="51"/>
      <c r="G1536" s="51"/>
      <c r="H1536" s="258" t="e">
        <f t="shared" si="178"/>
        <v>#DIV/0!</v>
      </c>
      <c r="I1536" s="228"/>
      <c r="J1536" s="228"/>
      <c r="K1536" s="228"/>
      <c r="L1536"/>
      <c r="M1536"/>
    </row>
    <row r="1537" spans="1:13" s="26" customFormat="1" x14ac:dyDescent="0.2">
      <c r="A1537" s="120" t="s">
        <v>282</v>
      </c>
      <c r="B1537" s="121" t="s">
        <v>802</v>
      </c>
      <c r="C1537" s="121" t="s">
        <v>283</v>
      </c>
      <c r="D1537" s="121"/>
      <c r="E1537" s="122"/>
      <c r="F1537" s="50">
        <f>F1538+F1559</f>
        <v>28550.6</v>
      </c>
      <c r="G1537" s="50">
        <f>G1538+G1559</f>
        <v>28527.5</v>
      </c>
      <c r="H1537" s="258">
        <f t="shared" si="178"/>
        <v>0.99919091017351658</v>
      </c>
      <c r="I1537" s="228"/>
      <c r="J1537" s="228"/>
      <c r="K1537" s="228"/>
      <c r="L1537"/>
      <c r="M1537"/>
    </row>
    <row r="1538" spans="1:13" s="28" customFormat="1" ht="34.9" customHeight="1" x14ac:dyDescent="0.2">
      <c r="A1538" s="23" t="s">
        <v>285</v>
      </c>
      <c r="B1538" s="15" t="s">
        <v>802</v>
      </c>
      <c r="C1538" s="15" t="s">
        <v>283</v>
      </c>
      <c r="D1538" s="15" t="s">
        <v>286</v>
      </c>
      <c r="E1538" s="15"/>
      <c r="F1538" s="25">
        <f t="shared" ref="F1538:G1540" si="180">F1539</f>
        <v>26763.5</v>
      </c>
      <c r="G1538" s="25">
        <f t="shared" si="180"/>
        <v>26763.5</v>
      </c>
      <c r="H1538" s="258">
        <f t="shared" si="178"/>
        <v>1</v>
      </c>
      <c r="I1538" s="228"/>
      <c r="J1538" s="228"/>
      <c r="K1538" s="228"/>
      <c r="L1538"/>
      <c r="M1538"/>
    </row>
    <row r="1539" spans="1:13" s="45" customFormat="1" ht="34.15" customHeight="1" x14ac:dyDescent="0.2">
      <c r="A1539" s="30" t="s">
        <v>287</v>
      </c>
      <c r="B1539" s="31" t="s">
        <v>802</v>
      </c>
      <c r="C1539" s="31" t="s">
        <v>283</v>
      </c>
      <c r="D1539" s="31" t="s">
        <v>288</v>
      </c>
      <c r="E1539" s="31"/>
      <c r="F1539" s="29">
        <f t="shared" si="180"/>
        <v>26763.5</v>
      </c>
      <c r="G1539" s="29">
        <f t="shared" si="180"/>
        <v>26763.5</v>
      </c>
      <c r="H1539" s="258">
        <f t="shared" si="178"/>
        <v>1</v>
      </c>
      <c r="I1539" s="228"/>
      <c r="J1539" s="228"/>
      <c r="K1539" s="228"/>
      <c r="L1539"/>
      <c r="M1539"/>
    </row>
    <row r="1540" spans="1:13" s="5" customFormat="1" ht="46.9" customHeight="1" x14ac:dyDescent="0.2">
      <c r="A1540" s="103" t="s">
        <v>289</v>
      </c>
      <c r="B1540" s="31" t="s">
        <v>802</v>
      </c>
      <c r="C1540" s="31" t="s">
        <v>283</v>
      </c>
      <c r="D1540" s="31" t="s">
        <v>290</v>
      </c>
      <c r="E1540" s="31"/>
      <c r="F1540" s="29">
        <f t="shared" si="180"/>
        <v>26763.5</v>
      </c>
      <c r="G1540" s="29">
        <f t="shared" si="180"/>
        <v>26763.5</v>
      </c>
      <c r="H1540" s="258">
        <f t="shared" si="178"/>
        <v>1</v>
      </c>
      <c r="I1540" s="228"/>
      <c r="J1540" s="228"/>
      <c r="K1540" s="228"/>
      <c r="L1540"/>
      <c r="M1540"/>
    </row>
    <row r="1541" spans="1:13" s="5" customFormat="1" ht="34.15" customHeight="1" x14ac:dyDescent="0.2">
      <c r="A1541" s="30" t="s">
        <v>291</v>
      </c>
      <c r="B1541" s="31" t="s">
        <v>802</v>
      </c>
      <c r="C1541" s="31" t="s">
        <v>283</v>
      </c>
      <c r="D1541" s="31" t="s">
        <v>292</v>
      </c>
      <c r="E1541" s="31"/>
      <c r="F1541" s="29">
        <f>F1542+F1557</f>
        <v>26763.5</v>
      </c>
      <c r="G1541" s="29">
        <f>G1542+G1557</f>
        <v>26763.5</v>
      </c>
      <c r="H1541" s="258">
        <f t="shared" si="178"/>
        <v>1</v>
      </c>
      <c r="I1541" s="228"/>
      <c r="J1541" s="228"/>
      <c r="K1541" s="228"/>
      <c r="L1541"/>
      <c r="M1541"/>
    </row>
    <row r="1542" spans="1:13" s="45" customFormat="1" x14ac:dyDescent="0.2">
      <c r="A1542" s="30" t="s">
        <v>821</v>
      </c>
      <c r="B1542" s="31" t="s">
        <v>802</v>
      </c>
      <c r="C1542" s="31" t="s">
        <v>283</v>
      </c>
      <c r="D1542" s="31" t="s">
        <v>292</v>
      </c>
      <c r="E1542" s="32">
        <v>500</v>
      </c>
      <c r="F1542" s="88">
        <f>F1543</f>
        <v>26763.5</v>
      </c>
      <c r="G1542" s="88">
        <f>G1543</f>
        <v>26763.5</v>
      </c>
      <c r="H1542" s="258">
        <f t="shared" si="178"/>
        <v>1</v>
      </c>
      <c r="I1542" s="228"/>
      <c r="J1542" s="228"/>
      <c r="K1542" s="228"/>
      <c r="L1542"/>
      <c r="M1542"/>
    </row>
    <row r="1543" spans="1:13" s="45" customFormat="1" x14ac:dyDescent="0.2">
      <c r="A1543" s="30" t="s">
        <v>825</v>
      </c>
      <c r="B1543" s="31" t="s">
        <v>802</v>
      </c>
      <c r="C1543" s="31" t="s">
        <v>283</v>
      </c>
      <c r="D1543" s="31" t="s">
        <v>292</v>
      </c>
      <c r="E1543" s="32">
        <v>540</v>
      </c>
      <c r="F1543" s="88">
        <v>26763.5</v>
      </c>
      <c r="G1543" s="88">
        <v>26763.5</v>
      </c>
      <c r="H1543" s="258">
        <f t="shared" si="178"/>
        <v>1</v>
      </c>
      <c r="I1543" s="228"/>
      <c r="J1543" s="228"/>
      <c r="K1543" s="228"/>
      <c r="L1543"/>
      <c r="M1543"/>
    </row>
    <row r="1544" spans="1:13" s="26" customFormat="1" hidden="1" x14ac:dyDescent="0.2">
      <c r="A1544" s="64" t="s">
        <v>839</v>
      </c>
      <c r="B1544" s="31" t="s">
        <v>802</v>
      </c>
      <c r="C1544" s="53" t="s">
        <v>283</v>
      </c>
      <c r="D1544" s="53" t="s">
        <v>840</v>
      </c>
      <c r="E1544" s="53"/>
      <c r="F1544" s="239">
        <f>F1545</f>
        <v>0</v>
      </c>
      <c r="G1544" s="239">
        <f>G1545</f>
        <v>0</v>
      </c>
      <c r="H1544" s="258" t="e">
        <f t="shared" si="178"/>
        <v>#DIV/0!</v>
      </c>
      <c r="I1544" s="228"/>
      <c r="J1544" s="228"/>
      <c r="K1544" s="228"/>
      <c r="L1544"/>
      <c r="M1544"/>
    </row>
    <row r="1545" spans="1:13" s="26" customFormat="1" ht="47.25" hidden="1" x14ac:dyDescent="0.2">
      <c r="A1545" s="63" t="s">
        <v>841</v>
      </c>
      <c r="B1545" s="31" t="s">
        <v>802</v>
      </c>
      <c r="C1545" s="58" t="s">
        <v>283</v>
      </c>
      <c r="D1545" s="58" t="s">
        <v>842</v>
      </c>
      <c r="E1545" s="58"/>
      <c r="F1545" s="66">
        <f>F1546+F1551+F1554</f>
        <v>0</v>
      </c>
      <c r="G1545" s="66">
        <f>G1546+G1551+G1554</f>
        <v>0</v>
      </c>
      <c r="H1545" s="258" t="e">
        <f t="shared" si="178"/>
        <v>#DIV/0!</v>
      </c>
      <c r="I1545" s="228"/>
      <c r="J1545" s="228"/>
      <c r="K1545" s="228"/>
      <c r="L1545"/>
      <c r="M1545"/>
    </row>
    <row r="1546" spans="1:13" s="26" customFormat="1" ht="63" hidden="1" x14ac:dyDescent="0.2">
      <c r="A1546" s="63" t="s">
        <v>843</v>
      </c>
      <c r="B1546" s="31" t="s">
        <v>802</v>
      </c>
      <c r="C1546" s="58" t="s">
        <v>283</v>
      </c>
      <c r="D1546" s="58" t="s">
        <v>844</v>
      </c>
      <c r="E1546" s="58"/>
      <c r="F1546" s="66">
        <f>F1547+F1549</f>
        <v>0</v>
      </c>
      <c r="G1546" s="66">
        <f>G1547+G1549</f>
        <v>0</v>
      </c>
      <c r="H1546" s="258" t="e">
        <f t="shared" si="178"/>
        <v>#DIV/0!</v>
      </c>
      <c r="I1546" s="228"/>
      <c r="J1546" s="228"/>
      <c r="K1546" s="228"/>
      <c r="L1546"/>
      <c r="M1546"/>
    </row>
    <row r="1547" spans="1:13" s="26" customFormat="1" hidden="1" x14ac:dyDescent="0.2">
      <c r="A1547" s="63" t="s">
        <v>821</v>
      </c>
      <c r="B1547" s="31" t="s">
        <v>802</v>
      </c>
      <c r="C1547" s="58" t="s">
        <v>283</v>
      </c>
      <c r="D1547" s="58" t="s">
        <v>844</v>
      </c>
      <c r="E1547" s="58" t="s">
        <v>137</v>
      </c>
      <c r="F1547" s="66">
        <f>F1548</f>
        <v>0</v>
      </c>
      <c r="G1547" s="66">
        <f>G1548</f>
        <v>0</v>
      </c>
      <c r="H1547" s="258" t="e">
        <f t="shared" si="178"/>
        <v>#DIV/0!</v>
      </c>
      <c r="I1547" s="228"/>
      <c r="J1547" s="228"/>
      <c r="K1547" s="228"/>
      <c r="L1547"/>
      <c r="M1547"/>
    </row>
    <row r="1548" spans="1:13" s="26" customFormat="1" hidden="1" x14ac:dyDescent="0.2">
      <c r="A1548" s="63" t="s">
        <v>825</v>
      </c>
      <c r="B1548" s="31" t="s">
        <v>802</v>
      </c>
      <c r="C1548" s="58" t="s">
        <v>283</v>
      </c>
      <c r="D1548" s="58" t="s">
        <v>844</v>
      </c>
      <c r="E1548" s="58" t="s">
        <v>826</v>
      </c>
      <c r="F1548" s="66"/>
      <c r="G1548" s="66"/>
      <c r="H1548" s="258" t="e">
        <f t="shared" si="178"/>
        <v>#DIV/0!</v>
      </c>
      <c r="I1548" s="228"/>
      <c r="J1548" s="228"/>
      <c r="K1548" s="228"/>
      <c r="L1548"/>
      <c r="M1548"/>
    </row>
    <row r="1549" spans="1:13" s="26" customFormat="1" hidden="1" x14ac:dyDescent="0.2">
      <c r="A1549" s="63" t="s">
        <v>29</v>
      </c>
      <c r="B1549" s="31" t="s">
        <v>802</v>
      </c>
      <c r="C1549" s="58" t="s">
        <v>283</v>
      </c>
      <c r="D1549" s="58" t="s">
        <v>844</v>
      </c>
      <c r="E1549" s="59">
        <v>800</v>
      </c>
      <c r="F1549" s="66">
        <f>F1550</f>
        <v>0</v>
      </c>
      <c r="G1549" s="66">
        <f>G1550</f>
        <v>0</v>
      </c>
      <c r="H1549" s="258" t="e">
        <f t="shared" si="178"/>
        <v>#DIV/0!</v>
      </c>
      <c r="I1549" s="228"/>
      <c r="J1549" s="228"/>
      <c r="K1549" s="228"/>
      <c r="L1549"/>
      <c r="M1549"/>
    </row>
    <row r="1550" spans="1:13" s="26" customFormat="1" hidden="1" x14ac:dyDescent="0.2">
      <c r="A1550" s="63" t="s">
        <v>50</v>
      </c>
      <c r="B1550" s="31" t="s">
        <v>802</v>
      </c>
      <c r="C1550" s="58" t="s">
        <v>283</v>
      </c>
      <c r="D1550" s="58" t="s">
        <v>844</v>
      </c>
      <c r="E1550" s="59">
        <v>870</v>
      </c>
      <c r="F1550" s="66"/>
      <c r="G1550" s="66"/>
      <c r="H1550" s="258" t="e">
        <f t="shared" si="178"/>
        <v>#DIV/0!</v>
      </c>
      <c r="I1550" s="228"/>
      <c r="J1550" s="228"/>
      <c r="K1550" s="228"/>
      <c r="L1550"/>
      <c r="M1550"/>
    </row>
    <row r="1551" spans="1:13" s="26" customFormat="1" ht="47.25" hidden="1" x14ac:dyDescent="0.2">
      <c r="A1551" s="63" t="s">
        <v>845</v>
      </c>
      <c r="B1551" s="31" t="s">
        <v>802</v>
      </c>
      <c r="C1551" s="58" t="s">
        <v>283</v>
      </c>
      <c r="D1551" s="58" t="s">
        <v>846</v>
      </c>
      <c r="E1551" s="59"/>
      <c r="F1551" s="66">
        <f>F1552</f>
        <v>0</v>
      </c>
      <c r="G1551" s="66">
        <f>G1552</f>
        <v>0</v>
      </c>
      <c r="H1551" s="258" t="e">
        <f t="shared" si="178"/>
        <v>#DIV/0!</v>
      </c>
      <c r="I1551" s="228"/>
      <c r="J1551" s="228"/>
      <c r="K1551" s="228"/>
      <c r="L1551"/>
      <c r="M1551"/>
    </row>
    <row r="1552" spans="1:13" s="26" customFormat="1" hidden="1" x14ac:dyDescent="0.2">
      <c r="A1552" s="63" t="s">
        <v>821</v>
      </c>
      <c r="B1552" s="31" t="s">
        <v>802</v>
      </c>
      <c r="C1552" s="58" t="s">
        <v>283</v>
      </c>
      <c r="D1552" s="58" t="s">
        <v>846</v>
      </c>
      <c r="E1552" s="59">
        <v>500</v>
      </c>
      <c r="F1552" s="66">
        <f>F1553</f>
        <v>0</v>
      </c>
      <c r="G1552" s="66">
        <f>G1553</f>
        <v>0</v>
      </c>
      <c r="H1552" s="258" t="e">
        <f t="shared" si="178"/>
        <v>#DIV/0!</v>
      </c>
      <c r="I1552" s="228"/>
      <c r="J1552" s="228"/>
      <c r="K1552" s="228"/>
      <c r="L1552"/>
      <c r="M1552"/>
    </row>
    <row r="1553" spans="1:13" s="26" customFormat="1" hidden="1" x14ac:dyDescent="0.2">
      <c r="A1553" s="63" t="s">
        <v>825</v>
      </c>
      <c r="B1553" s="31" t="s">
        <v>802</v>
      </c>
      <c r="C1553" s="58" t="s">
        <v>283</v>
      </c>
      <c r="D1553" s="58" t="s">
        <v>846</v>
      </c>
      <c r="E1553" s="59">
        <v>540</v>
      </c>
      <c r="F1553" s="66"/>
      <c r="G1553" s="66"/>
      <c r="H1553" s="258" t="e">
        <f t="shared" si="178"/>
        <v>#DIV/0!</v>
      </c>
      <c r="I1553" s="228"/>
      <c r="J1553" s="228"/>
      <c r="K1553" s="228"/>
      <c r="L1553"/>
      <c r="M1553"/>
    </row>
    <row r="1554" spans="1:13" s="26" customFormat="1" ht="31.5" hidden="1" x14ac:dyDescent="0.2">
      <c r="A1554" s="63" t="s">
        <v>847</v>
      </c>
      <c r="B1554" s="31" t="s">
        <v>802</v>
      </c>
      <c r="C1554" s="58" t="s">
        <v>283</v>
      </c>
      <c r="D1554" s="58" t="s">
        <v>848</v>
      </c>
      <c r="E1554" s="59"/>
      <c r="F1554" s="66">
        <f>F1555</f>
        <v>0</v>
      </c>
      <c r="G1554" s="66">
        <f>G1555</f>
        <v>0</v>
      </c>
      <c r="H1554" s="258" t="e">
        <f t="shared" si="178"/>
        <v>#DIV/0!</v>
      </c>
      <c r="I1554" s="228"/>
      <c r="J1554" s="228"/>
      <c r="K1554" s="228"/>
      <c r="L1554"/>
      <c r="M1554"/>
    </row>
    <row r="1555" spans="1:13" s="26" customFormat="1" hidden="1" x14ac:dyDescent="0.2">
      <c r="A1555" s="63" t="s">
        <v>821</v>
      </c>
      <c r="B1555" s="31" t="s">
        <v>802</v>
      </c>
      <c r="C1555" s="58" t="s">
        <v>283</v>
      </c>
      <c r="D1555" s="58" t="s">
        <v>848</v>
      </c>
      <c r="E1555" s="59">
        <v>500</v>
      </c>
      <c r="F1555" s="66">
        <f>F1556</f>
        <v>0</v>
      </c>
      <c r="G1555" s="66">
        <f>G1556</f>
        <v>0</v>
      </c>
      <c r="H1555" s="258" t="e">
        <f t="shared" si="178"/>
        <v>#DIV/0!</v>
      </c>
      <c r="I1555" s="228"/>
      <c r="J1555" s="228"/>
      <c r="K1555" s="228"/>
      <c r="L1555"/>
      <c r="M1555"/>
    </row>
    <row r="1556" spans="1:13" s="26" customFormat="1" hidden="1" x14ac:dyDescent="0.2">
      <c r="A1556" s="63" t="s">
        <v>825</v>
      </c>
      <c r="B1556" s="31" t="s">
        <v>802</v>
      </c>
      <c r="C1556" s="58" t="s">
        <v>283</v>
      </c>
      <c r="D1556" s="58" t="s">
        <v>848</v>
      </c>
      <c r="E1556" s="59">
        <v>540</v>
      </c>
      <c r="F1556" s="66"/>
      <c r="G1556" s="66"/>
      <c r="H1556" s="258" t="e">
        <f t="shared" si="178"/>
        <v>#DIV/0!</v>
      </c>
      <c r="I1556" s="228"/>
      <c r="J1556" s="228"/>
      <c r="K1556" s="228"/>
      <c r="L1556"/>
      <c r="M1556"/>
    </row>
    <row r="1557" spans="1:13" s="26" customFormat="1" hidden="1" x14ac:dyDescent="0.2">
      <c r="A1557" s="63" t="s">
        <v>29</v>
      </c>
      <c r="B1557" s="31" t="s">
        <v>802</v>
      </c>
      <c r="C1557" s="31" t="s">
        <v>283</v>
      </c>
      <c r="D1557" s="31" t="s">
        <v>292</v>
      </c>
      <c r="E1557" s="59">
        <v>800</v>
      </c>
      <c r="F1557" s="66">
        <f>F1558</f>
        <v>0</v>
      </c>
      <c r="G1557" s="66">
        <f>G1558</f>
        <v>0</v>
      </c>
      <c r="H1557" s="258" t="e">
        <f t="shared" si="178"/>
        <v>#DIV/0!</v>
      </c>
      <c r="I1557" s="228"/>
      <c r="J1557" s="228"/>
      <c r="K1557" s="228"/>
      <c r="L1557"/>
      <c r="M1557"/>
    </row>
    <row r="1558" spans="1:13" s="26" customFormat="1" hidden="1" x14ac:dyDescent="0.2">
      <c r="A1558" s="63" t="s">
        <v>50</v>
      </c>
      <c r="B1558" s="31" t="s">
        <v>802</v>
      </c>
      <c r="C1558" s="31" t="s">
        <v>283</v>
      </c>
      <c r="D1558" s="31" t="s">
        <v>292</v>
      </c>
      <c r="E1558" s="59">
        <v>870</v>
      </c>
      <c r="F1558" s="66">
        <v>0</v>
      </c>
      <c r="G1558" s="66">
        <v>0</v>
      </c>
      <c r="H1558" s="258" t="e">
        <f t="shared" si="178"/>
        <v>#DIV/0!</v>
      </c>
      <c r="I1558" s="228"/>
      <c r="J1558" s="228"/>
      <c r="K1558" s="228"/>
      <c r="L1558"/>
      <c r="M1558"/>
    </row>
    <row r="1559" spans="1:13" s="91" customFormat="1" x14ac:dyDescent="0.2">
      <c r="A1559" s="127" t="s">
        <v>197</v>
      </c>
      <c r="B1559" s="53" t="s">
        <v>802</v>
      </c>
      <c r="C1559" s="53" t="s">
        <v>283</v>
      </c>
      <c r="D1559" s="53" t="s">
        <v>198</v>
      </c>
      <c r="E1559" s="54"/>
      <c r="F1559" s="48">
        <f>F1560+F1563</f>
        <v>1787.1</v>
      </c>
      <c r="G1559" s="48">
        <f>G1560+G1563</f>
        <v>1764</v>
      </c>
      <c r="H1559" s="258">
        <f t="shared" si="178"/>
        <v>0.98707403055229148</v>
      </c>
      <c r="I1559" s="228"/>
      <c r="J1559" s="228"/>
      <c r="K1559" s="228"/>
      <c r="L1559"/>
      <c r="M1559"/>
    </row>
    <row r="1560" spans="1:13" s="130" customFormat="1" ht="47.25" x14ac:dyDescent="0.2">
      <c r="A1560" s="67" t="s">
        <v>301</v>
      </c>
      <c r="B1560" s="68" t="s">
        <v>802</v>
      </c>
      <c r="C1560" s="68" t="s">
        <v>283</v>
      </c>
      <c r="D1560" s="68" t="s">
        <v>302</v>
      </c>
      <c r="E1560" s="128"/>
      <c r="F1560" s="129">
        <f>F1561</f>
        <v>14</v>
      </c>
      <c r="G1560" s="129">
        <f>G1561</f>
        <v>0</v>
      </c>
      <c r="H1560" s="258">
        <f t="shared" si="178"/>
        <v>0</v>
      </c>
      <c r="I1560" s="228"/>
      <c r="J1560" s="228"/>
      <c r="K1560" s="228"/>
      <c r="L1560"/>
      <c r="M1560"/>
    </row>
    <row r="1561" spans="1:13" s="130" customFormat="1" x14ac:dyDescent="0.2">
      <c r="A1561" s="63" t="s">
        <v>29</v>
      </c>
      <c r="B1561" s="58" t="s">
        <v>802</v>
      </c>
      <c r="C1561" s="58" t="s">
        <v>283</v>
      </c>
      <c r="D1561" s="58" t="s">
        <v>302</v>
      </c>
      <c r="E1561" s="59">
        <v>800</v>
      </c>
      <c r="F1561" s="49">
        <f>F1562</f>
        <v>14</v>
      </c>
      <c r="G1561" s="49">
        <f>G1562</f>
        <v>0</v>
      </c>
      <c r="H1561" s="258">
        <f t="shared" si="178"/>
        <v>0</v>
      </c>
      <c r="I1561" s="228"/>
      <c r="J1561" s="228"/>
      <c r="K1561" s="228"/>
      <c r="L1561"/>
      <c r="M1561"/>
    </row>
    <row r="1562" spans="1:13" s="130" customFormat="1" x14ac:dyDescent="0.2">
      <c r="A1562" s="63" t="s">
        <v>50</v>
      </c>
      <c r="B1562" s="58" t="s">
        <v>802</v>
      </c>
      <c r="C1562" s="58" t="s">
        <v>283</v>
      </c>
      <c r="D1562" s="58" t="s">
        <v>302</v>
      </c>
      <c r="E1562" s="59">
        <v>870</v>
      </c>
      <c r="F1562" s="49">
        <v>14</v>
      </c>
      <c r="G1562" s="49">
        <v>0</v>
      </c>
      <c r="H1562" s="258">
        <f t="shared" si="178"/>
        <v>0</v>
      </c>
      <c r="I1562" s="228"/>
      <c r="J1562" s="228"/>
      <c r="K1562" s="228"/>
      <c r="L1562"/>
      <c r="M1562"/>
    </row>
    <row r="1563" spans="1:13" s="132" customFormat="1" ht="47.25" x14ac:dyDescent="0.2">
      <c r="A1563" s="43" t="s">
        <v>303</v>
      </c>
      <c r="B1563" s="58" t="s">
        <v>802</v>
      </c>
      <c r="C1563" s="58" t="s">
        <v>283</v>
      </c>
      <c r="D1563" s="31" t="s">
        <v>304</v>
      </c>
      <c r="E1563" s="32"/>
      <c r="F1563" s="131">
        <f>F1564</f>
        <v>1773.1</v>
      </c>
      <c r="G1563" s="131">
        <f>G1564</f>
        <v>1764</v>
      </c>
      <c r="H1563" s="258">
        <f t="shared" si="178"/>
        <v>0.99486774575602055</v>
      </c>
      <c r="I1563" s="228"/>
      <c r="J1563" s="228"/>
      <c r="K1563" s="228"/>
      <c r="L1563"/>
      <c r="M1563"/>
    </row>
    <row r="1564" spans="1:13" s="44" customFormat="1" ht="92.45" customHeight="1" x14ac:dyDescent="0.2">
      <c r="A1564" s="133" t="s">
        <v>849</v>
      </c>
      <c r="B1564" s="31" t="s">
        <v>802</v>
      </c>
      <c r="C1564" s="31" t="s">
        <v>283</v>
      </c>
      <c r="D1564" s="31" t="s">
        <v>306</v>
      </c>
      <c r="E1564" s="32"/>
      <c r="F1564" s="29">
        <f>F1565+F1567</f>
        <v>1773.1</v>
      </c>
      <c r="G1564" s="29">
        <f>G1565+G1567</f>
        <v>1764</v>
      </c>
      <c r="H1564" s="258">
        <f t="shared" si="178"/>
        <v>0.99486774575602055</v>
      </c>
      <c r="I1564" s="228"/>
      <c r="J1564" s="228"/>
      <c r="K1564" s="228"/>
      <c r="L1564"/>
      <c r="M1564"/>
    </row>
    <row r="1565" spans="1:13" s="27" customFormat="1" x14ac:dyDescent="0.2">
      <c r="A1565" s="30" t="s">
        <v>821</v>
      </c>
      <c r="B1565" s="31" t="s">
        <v>802</v>
      </c>
      <c r="C1565" s="31" t="s">
        <v>283</v>
      </c>
      <c r="D1565" s="31" t="s">
        <v>306</v>
      </c>
      <c r="E1565" s="32">
        <v>500</v>
      </c>
      <c r="F1565" s="29">
        <f>F1566</f>
        <v>1764</v>
      </c>
      <c r="G1565" s="29">
        <f>G1566</f>
        <v>1764</v>
      </c>
      <c r="H1565" s="258">
        <f t="shared" si="178"/>
        <v>1</v>
      </c>
      <c r="I1565" s="228"/>
      <c r="J1565" s="228"/>
      <c r="K1565" s="228"/>
      <c r="L1565"/>
      <c r="M1565"/>
    </row>
    <row r="1566" spans="1:13" s="26" customFormat="1" x14ac:dyDescent="0.2">
      <c r="A1566" s="103" t="s">
        <v>825</v>
      </c>
      <c r="B1566" s="58" t="s">
        <v>802</v>
      </c>
      <c r="C1566" s="58" t="s">
        <v>283</v>
      </c>
      <c r="D1566" s="58" t="s">
        <v>306</v>
      </c>
      <c r="E1566" s="59">
        <v>540</v>
      </c>
      <c r="F1566" s="49">
        <v>1764</v>
      </c>
      <c r="G1566" s="49">
        <v>1764</v>
      </c>
      <c r="H1566" s="258">
        <f t="shared" si="178"/>
        <v>1</v>
      </c>
      <c r="I1566" s="55"/>
      <c r="J1566" s="55"/>
      <c r="K1566" s="55"/>
      <c r="L1566" s="217"/>
      <c r="M1566" s="217"/>
    </row>
    <row r="1567" spans="1:13" s="60" customFormat="1" x14ac:dyDescent="0.2">
      <c r="A1567" s="63" t="s">
        <v>29</v>
      </c>
      <c r="B1567" s="58" t="s">
        <v>802</v>
      </c>
      <c r="C1567" s="58" t="s">
        <v>283</v>
      </c>
      <c r="D1567" s="58" t="s">
        <v>306</v>
      </c>
      <c r="E1567" s="59">
        <v>800</v>
      </c>
      <c r="F1567" s="49">
        <f>F1568</f>
        <v>9.1</v>
      </c>
      <c r="G1567" s="49">
        <f>G1568</f>
        <v>0</v>
      </c>
      <c r="H1567" s="258">
        <f t="shared" si="178"/>
        <v>0</v>
      </c>
      <c r="I1567" s="55"/>
      <c r="J1567" s="55"/>
      <c r="K1567" s="55"/>
      <c r="L1567" s="217"/>
      <c r="M1567" s="217"/>
    </row>
    <row r="1568" spans="1:13" s="60" customFormat="1" x14ac:dyDescent="0.2">
      <c r="A1568" s="63" t="s">
        <v>50</v>
      </c>
      <c r="B1568" s="58" t="s">
        <v>802</v>
      </c>
      <c r="C1568" s="58" t="s">
        <v>283</v>
      </c>
      <c r="D1568" s="58" t="s">
        <v>306</v>
      </c>
      <c r="E1568" s="59">
        <v>870</v>
      </c>
      <c r="F1568" s="49">
        <v>9.1</v>
      </c>
      <c r="G1568" s="49">
        <v>0</v>
      </c>
      <c r="H1568" s="258">
        <f t="shared" si="178"/>
        <v>0</v>
      </c>
      <c r="I1568" s="55"/>
      <c r="J1568" s="55"/>
      <c r="K1568" s="55"/>
      <c r="L1568" s="217"/>
      <c r="M1568" s="217"/>
    </row>
    <row r="1569" spans="1:13" s="60" customFormat="1" ht="47.25" hidden="1" x14ac:dyDescent="0.2">
      <c r="A1569" s="63" t="s">
        <v>850</v>
      </c>
      <c r="B1569" s="58" t="s">
        <v>802</v>
      </c>
      <c r="C1569" s="58" t="s">
        <v>283</v>
      </c>
      <c r="D1569" s="58" t="s">
        <v>851</v>
      </c>
      <c r="E1569" s="59"/>
      <c r="F1569" s="51">
        <f>F1570</f>
        <v>0</v>
      </c>
      <c r="G1569" s="51">
        <f>G1570</f>
        <v>0</v>
      </c>
      <c r="H1569" s="258" t="e">
        <f t="shared" si="178"/>
        <v>#DIV/0!</v>
      </c>
      <c r="I1569" s="55"/>
      <c r="J1569" s="55"/>
      <c r="K1569" s="55"/>
      <c r="L1569" s="217"/>
      <c r="M1569" s="217"/>
    </row>
    <row r="1570" spans="1:13" s="60" customFormat="1" hidden="1" x14ac:dyDescent="0.2">
      <c r="A1570" s="63" t="s">
        <v>821</v>
      </c>
      <c r="B1570" s="58" t="s">
        <v>802</v>
      </c>
      <c r="C1570" s="58" t="s">
        <v>283</v>
      </c>
      <c r="D1570" s="58" t="s">
        <v>851</v>
      </c>
      <c r="E1570" s="59">
        <v>500</v>
      </c>
      <c r="F1570" s="51">
        <f>F1571</f>
        <v>0</v>
      </c>
      <c r="G1570" s="51">
        <f>G1571</f>
        <v>0</v>
      </c>
      <c r="H1570" s="258" t="e">
        <f t="shared" si="178"/>
        <v>#DIV/0!</v>
      </c>
      <c r="I1570" s="55"/>
      <c r="J1570" s="55"/>
      <c r="K1570" s="55"/>
      <c r="L1570" s="217"/>
      <c r="M1570" s="217"/>
    </row>
    <row r="1571" spans="1:13" s="60" customFormat="1" hidden="1" x14ac:dyDescent="0.2">
      <c r="A1571" s="63" t="s">
        <v>825</v>
      </c>
      <c r="B1571" s="58" t="s">
        <v>802</v>
      </c>
      <c r="C1571" s="58" t="s">
        <v>283</v>
      </c>
      <c r="D1571" s="58" t="s">
        <v>851</v>
      </c>
      <c r="E1571" s="59">
        <v>540</v>
      </c>
      <c r="F1571" s="51">
        <f>310.9-310.9</f>
        <v>0</v>
      </c>
      <c r="G1571" s="51">
        <f>310.9-310.9</f>
        <v>0</v>
      </c>
      <c r="H1571" s="258" t="e">
        <f t="shared" si="178"/>
        <v>#DIV/0!</v>
      </c>
      <c r="I1571" s="55"/>
      <c r="J1571" s="55"/>
      <c r="K1571" s="55"/>
      <c r="L1571" s="217"/>
      <c r="M1571" s="217"/>
    </row>
    <row r="1572" spans="1:13" s="60" customFormat="1" hidden="1" x14ac:dyDescent="0.2">
      <c r="A1572" s="64" t="s">
        <v>307</v>
      </c>
      <c r="B1572" s="53" t="s">
        <v>802</v>
      </c>
      <c r="C1572" s="53" t="s">
        <v>308</v>
      </c>
      <c r="D1572" s="53"/>
      <c r="E1572" s="54"/>
      <c r="F1572" s="203">
        <f>F1573+F1584</f>
        <v>0</v>
      </c>
      <c r="G1572" s="203">
        <f>G1573+G1584</f>
        <v>0</v>
      </c>
      <c r="H1572" s="258" t="e">
        <f t="shared" si="178"/>
        <v>#DIV/0!</v>
      </c>
      <c r="I1572" s="55"/>
      <c r="J1572" s="55"/>
      <c r="K1572" s="55"/>
      <c r="L1572" s="217"/>
      <c r="M1572" s="217"/>
    </row>
    <row r="1573" spans="1:13" s="60" customFormat="1" ht="47.25" hidden="1" x14ac:dyDescent="0.2">
      <c r="A1573" s="70" t="s">
        <v>326</v>
      </c>
      <c r="B1573" s="53" t="s">
        <v>802</v>
      </c>
      <c r="C1573" s="53" t="s">
        <v>308</v>
      </c>
      <c r="D1573" s="53" t="s">
        <v>103</v>
      </c>
      <c r="E1573" s="53"/>
      <c r="F1573" s="65">
        <f>F1574</f>
        <v>0</v>
      </c>
      <c r="G1573" s="65">
        <f>G1574</f>
        <v>0</v>
      </c>
      <c r="H1573" s="258" t="e">
        <f t="shared" si="178"/>
        <v>#DIV/0!</v>
      </c>
      <c r="I1573" s="55"/>
      <c r="J1573" s="55"/>
      <c r="K1573" s="55"/>
      <c r="L1573" s="217"/>
      <c r="M1573" s="217"/>
    </row>
    <row r="1574" spans="1:13" s="60" customFormat="1" ht="31.5" hidden="1" x14ac:dyDescent="0.2">
      <c r="A1574" s="57" t="s">
        <v>327</v>
      </c>
      <c r="B1574" s="58" t="s">
        <v>802</v>
      </c>
      <c r="C1574" s="58" t="s">
        <v>308</v>
      </c>
      <c r="D1574" s="58" t="s">
        <v>328</v>
      </c>
      <c r="E1574" s="58"/>
      <c r="F1574" s="82">
        <f>F1575</f>
        <v>0</v>
      </c>
      <c r="G1574" s="82">
        <f>G1575</f>
        <v>0</v>
      </c>
      <c r="H1574" s="258" t="e">
        <f t="shared" si="178"/>
        <v>#DIV/0!</v>
      </c>
      <c r="I1574" s="55"/>
      <c r="J1574" s="55"/>
      <c r="K1574" s="55"/>
      <c r="L1574" s="217"/>
      <c r="M1574" s="217"/>
    </row>
    <row r="1575" spans="1:13" s="60" customFormat="1" ht="47.25" hidden="1" x14ac:dyDescent="0.2">
      <c r="A1575" s="57" t="s">
        <v>329</v>
      </c>
      <c r="B1575" s="58" t="s">
        <v>802</v>
      </c>
      <c r="C1575" s="58" t="s">
        <v>308</v>
      </c>
      <c r="D1575" s="58" t="s">
        <v>330</v>
      </c>
      <c r="E1575" s="58"/>
      <c r="F1575" s="82">
        <f>F1576+F1579</f>
        <v>0</v>
      </c>
      <c r="G1575" s="82">
        <f>G1576+G1579</f>
        <v>0</v>
      </c>
      <c r="H1575" s="258" t="e">
        <f t="shared" si="178"/>
        <v>#DIV/0!</v>
      </c>
      <c r="I1575" s="55"/>
      <c r="J1575" s="55"/>
      <c r="K1575" s="55"/>
      <c r="L1575" s="217"/>
      <c r="M1575" s="217"/>
    </row>
    <row r="1576" spans="1:13" s="60" customFormat="1" ht="31.5" hidden="1" x14ac:dyDescent="0.2">
      <c r="A1576" s="57" t="s">
        <v>331</v>
      </c>
      <c r="B1576" s="58" t="s">
        <v>802</v>
      </c>
      <c r="C1576" s="58" t="s">
        <v>308</v>
      </c>
      <c r="D1576" s="58" t="s">
        <v>332</v>
      </c>
      <c r="E1576" s="58"/>
      <c r="F1576" s="82">
        <f>F1577</f>
        <v>0</v>
      </c>
      <c r="G1576" s="82">
        <f>G1577</f>
        <v>0</v>
      </c>
      <c r="H1576" s="258" t="e">
        <f t="shared" si="178"/>
        <v>#DIV/0!</v>
      </c>
      <c r="I1576" s="55"/>
      <c r="J1576" s="55"/>
      <c r="K1576" s="55"/>
      <c r="L1576" s="217"/>
      <c r="M1576" s="217"/>
    </row>
    <row r="1577" spans="1:13" s="60" customFormat="1" hidden="1" x14ac:dyDescent="0.2">
      <c r="A1577" s="63" t="s">
        <v>821</v>
      </c>
      <c r="B1577" s="58" t="s">
        <v>802</v>
      </c>
      <c r="C1577" s="58" t="s">
        <v>308</v>
      </c>
      <c r="D1577" s="58" t="s">
        <v>332</v>
      </c>
      <c r="E1577" s="58" t="s">
        <v>137</v>
      </c>
      <c r="F1577" s="82">
        <f>F1578</f>
        <v>0</v>
      </c>
      <c r="G1577" s="82">
        <f>G1578</f>
        <v>0</v>
      </c>
      <c r="H1577" s="258" t="e">
        <f t="shared" ref="H1577:H1640" si="181">G1577/F1577</f>
        <v>#DIV/0!</v>
      </c>
      <c r="I1577" s="55"/>
      <c r="J1577" s="55"/>
      <c r="K1577" s="55"/>
      <c r="L1577" s="217"/>
      <c r="M1577" s="217"/>
    </row>
    <row r="1578" spans="1:13" s="60" customFormat="1" hidden="1" x14ac:dyDescent="0.2">
      <c r="A1578" s="63" t="s">
        <v>825</v>
      </c>
      <c r="B1578" s="58" t="s">
        <v>802</v>
      </c>
      <c r="C1578" s="58" t="s">
        <v>308</v>
      </c>
      <c r="D1578" s="58" t="s">
        <v>332</v>
      </c>
      <c r="E1578" s="58" t="s">
        <v>826</v>
      </c>
      <c r="F1578" s="82"/>
      <c r="G1578" s="82"/>
      <c r="H1578" s="258" t="e">
        <f t="shared" si="181"/>
        <v>#DIV/0!</v>
      </c>
      <c r="I1578" s="55"/>
      <c r="J1578" s="55"/>
      <c r="K1578" s="55"/>
      <c r="L1578" s="217"/>
      <c r="M1578" s="217"/>
    </row>
    <row r="1579" spans="1:13" s="60" customFormat="1" ht="47.25" hidden="1" x14ac:dyDescent="0.2">
      <c r="A1579" s="57" t="s">
        <v>333</v>
      </c>
      <c r="B1579" s="58" t="s">
        <v>802</v>
      </c>
      <c r="C1579" s="58" t="s">
        <v>308</v>
      </c>
      <c r="D1579" s="58" t="s">
        <v>334</v>
      </c>
      <c r="E1579" s="58"/>
      <c r="F1579" s="82">
        <f>F1580+F1582</f>
        <v>0</v>
      </c>
      <c r="G1579" s="82">
        <f>G1580+G1582</f>
        <v>0</v>
      </c>
      <c r="H1579" s="258" t="e">
        <f t="shared" si="181"/>
        <v>#DIV/0!</v>
      </c>
      <c r="I1579" s="55"/>
      <c r="J1579" s="55"/>
      <c r="K1579" s="55"/>
      <c r="L1579" s="217"/>
      <c r="M1579" s="217"/>
    </row>
    <row r="1580" spans="1:13" s="60" customFormat="1" hidden="1" x14ac:dyDescent="0.2">
      <c r="A1580" s="63" t="s">
        <v>821</v>
      </c>
      <c r="B1580" s="58" t="s">
        <v>802</v>
      </c>
      <c r="C1580" s="58" t="s">
        <v>308</v>
      </c>
      <c r="D1580" s="58" t="s">
        <v>334</v>
      </c>
      <c r="E1580" s="58" t="s">
        <v>137</v>
      </c>
      <c r="F1580" s="82">
        <f>F1581</f>
        <v>0</v>
      </c>
      <c r="G1580" s="82">
        <f>G1581</f>
        <v>0</v>
      </c>
      <c r="H1580" s="258" t="e">
        <f t="shared" si="181"/>
        <v>#DIV/0!</v>
      </c>
      <c r="I1580" s="55"/>
      <c r="J1580" s="55"/>
      <c r="K1580" s="55"/>
      <c r="L1580" s="217"/>
      <c r="M1580" s="217"/>
    </row>
    <row r="1581" spans="1:13" s="60" customFormat="1" hidden="1" x14ac:dyDescent="0.2">
      <c r="A1581" s="63" t="s">
        <v>825</v>
      </c>
      <c r="B1581" s="58" t="s">
        <v>802</v>
      </c>
      <c r="C1581" s="58" t="s">
        <v>308</v>
      </c>
      <c r="D1581" s="58" t="s">
        <v>334</v>
      </c>
      <c r="E1581" s="58" t="s">
        <v>826</v>
      </c>
      <c r="F1581" s="82"/>
      <c r="G1581" s="82"/>
      <c r="H1581" s="258" t="e">
        <f t="shared" si="181"/>
        <v>#DIV/0!</v>
      </c>
      <c r="I1581" s="55"/>
      <c r="J1581" s="55"/>
      <c r="K1581" s="55"/>
      <c r="L1581" s="217"/>
      <c r="M1581" s="217"/>
    </row>
    <row r="1582" spans="1:13" s="60" customFormat="1" hidden="1" x14ac:dyDescent="0.2">
      <c r="A1582" s="155" t="s">
        <v>29</v>
      </c>
      <c r="B1582" s="58" t="s">
        <v>802</v>
      </c>
      <c r="C1582" s="58" t="s">
        <v>308</v>
      </c>
      <c r="D1582" s="58" t="s">
        <v>334</v>
      </c>
      <c r="E1582" s="58" t="s">
        <v>130</v>
      </c>
      <c r="F1582" s="82">
        <f>F1583</f>
        <v>0</v>
      </c>
      <c r="G1582" s="82">
        <f>G1583</f>
        <v>0</v>
      </c>
      <c r="H1582" s="258" t="e">
        <f t="shared" si="181"/>
        <v>#DIV/0!</v>
      </c>
      <c r="I1582" s="55"/>
      <c r="J1582" s="55"/>
      <c r="K1582" s="55"/>
      <c r="L1582" s="217"/>
      <c r="M1582" s="217"/>
    </row>
    <row r="1583" spans="1:13" s="60" customFormat="1" hidden="1" x14ac:dyDescent="0.2">
      <c r="A1583" s="155" t="s">
        <v>50</v>
      </c>
      <c r="B1583" s="58" t="s">
        <v>802</v>
      </c>
      <c r="C1583" s="58" t="s">
        <v>308</v>
      </c>
      <c r="D1583" s="58" t="s">
        <v>334</v>
      </c>
      <c r="E1583" s="58" t="s">
        <v>277</v>
      </c>
      <c r="F1583" s="82"/>
      <c r="G1583" s="82"/>
      <c r="H1583" s="258" t="e">
        <f t="shared" si="181"/>
        <v>#DIV/0!</v>
      </c>
      <c r="I1583" s="55"/>
      <c r="J1583" s="55"/>
      <c r="K1583" s="55"/>
      <c r="L1583" s="217"/>
      <c r="M1583" s="217"/>
    </row>
    <row r="1584" spans="1:13" s="72" customFormat="1" ht="31.5" hidden="1" x14ac:dyDescent="0.2">
      <c r="A1584" s="127" t="s">
        <v>339</v>
      </c>
      <c r="B1584" s="53" t="s">
        <v>802</v>
      </c>
      <c r="C1584" s="53" t="s">
        <v>308</v>
      </c>
      <c r="D1584" s="53" t="s">
        <v>340</v>
      </c>
      <c r="E1584" s="54"/>
      <c r="F1584" s="48">
        <f>F1585</f>
        <v>0</v>
      </c>
      <c r="G1584" s="48">
        <f>G1585</f>
        <v>0</v>
      </c>
      <c r="H1584" s="258" t="e">
        <f t="shared" si="181"/>
        <v>#DIV/0!</v>
      </c>
      <c r="I1584" s="55"/>
      <c r="J1584" s="55"/>
      <c r="K1584" s="55"/>
      <c r="L1584" s="217"/>
      <c r="M1584" s="217"/>
    </row>
    <row r="1585" spans="1:13" s="60" customFormat="1" ht="31.5" hidden="1" x14ac:dyDescent="0.2">
      <c r="A1585" s="103" t="s">
        <v>345</v>
      </c>
      <c r="B1585" s="58" t="s">
        <v>802</v>
      </c>
      <c r="C1585" s="58" t="s">
        <v>308</v>
      </c>
      <c r="D1585" s="58" t="s">
        <v>346</v>
      </c>
      <c r="E1585" s="59"/>
      <c r="F1585" s="49">
        <f>F1586+F1591</f>
        <v>0</v>
      </c>
      <c r="G1585" s="49">
        <f>G1586+G1591</f>
        <v>0</v>
      </c>
      <c r="H1585" s="258" t="e">
        <f t="shared" si="181"/>
        <v>#DIV/0!</v>
      </c>
      <c r="I1585" s="55"/>
      <c r="J1585" s="55"/>
      <c r="K1585" s="55"/>
      <c r="L1585" s="217"/>
      <c r="M1585" s="217"/>
    </row>
    <row r="1586" spans="1:13" s="60" customFormat="1" ht="15" hidden="1" customHeight="1" x14ac:dyDescent="0.2">
      <c r="A1586" s="103" t="s">
        <v>852</v>
      </c>
      <c r="B1586" s="58" t="s">
        <v>802</v>
      </c>
      <c r="C1586" s="58" t="s">
        <v>308</v>
      </c>
      <c r="D1586" s="58" t="s">
        <v>853</v>
      </c>
      <c r="E1586" s="59"/>
      <c r="F1586" s="49">
        <f>F1587+F1589</f>
        <v>0</v>
      </c>
      <c r="G1586" s="49">
        <f>G1587+G1589</f>
        <v>0</v>
      </c>
      <c r="H1586" s="258" t="e">
        <f t="shared" si="181"/>
        <v>#DIV/0!</v>
      </c>
      <c r="I1586" s="55"/>
      <c r="J1586" s="55"/>
      <c r="K1586" s="55"/>
      <c r="L1586" s="217"/>
      <c r="M1586" s="217"/>
    </row>
    <row r="1587" spans="1:13" s="60" customFormat="1" hidden="1" x14ac:dyDescent="0.2">
      <c r="A1587" s="63" t="s">
        <v>821</v>
      </c>
      <c r="B1587" s="58" t="s">
        <v>802</v>
      </c>
      <c r="C1587" s="58" t="s">
        <v>308</v>
      </c>
      <c r="D1587" s="58" t="s">
        <v>853</v>
      </c>
      <c r="E1587" s="59">
        <v>500</v>
      </c>
      <c r="F1587" s="49">
        <f>F1588</f>
        <v>0</v>
      </c>
      <c r="G1587" s="49">
        <f>G1588</f>
        <v>0</v>
      </c>
      <c r="H1587" s="258" t="e">
        <f t="shared" si="181"/>
        <v>#DIV/0!</v>
      </c>
      <c r="I1587" s="55"/>
      <c r="J1587" s="55"/>
      <c r="K1587" s="55"/>
      <c r="L1587" s="217"/>
      <c r="M1587" s="217"/>
    </row>
    <row r="1588" spans="1:13" s="60" customFormat="1" hidden="1" x14ac:dyDescent="0.2">
      <c r="A1588" s="63" t="s">
        <v>825</v>
      </c>
      <c r="B1588" s="58" t="s">
        <v>802</v>
      </c>
      <c r="C1588" s="58" t="s">
        <v>308</v>
      </c>
      <c r="D1588" s="58" t="s">
        <v>853</v>
      </c>
      <c r="E1588" s="59">
        <v>540</v>
      </c>
      <c r="F1588" s="49"/>
      <c r="G1588" s="49"/>
      <c r="H1588" s="258" t="e">
        <f t="shared" si="181"/>
        <v>#DIV/0!</v>
      </c>
      <c r="I1588" s="55"/>
      <c r="J1588" s="55"/>
      <c r="K1588" s="55"/>
      <c r="L1588" s="217"/>
      <c r="M1588" s="217"/>
    </row>
    <row r="1589" spans="1:13" s="60" customFormat="1" hidden="1" x14ac:dyDescent="0.2">
      <c r="A1589" s="155" t="s">
        <v>29</v>
      </c>
      <c r="B1589" s="58" t="s">
        <v>802</v>
      </c>
      <c r="C1589" s="58" t="s">
        <v>308</v>
      </c>
      <c r="D1589" s="58" t="s">
        <v>853</v>
      </c>
      <c r="E1589" s="59">
        <v>800</v>
      </c>
      <c r="F1589" s="49">
        <f>F1590</f>
        <v>0</v>
      </c>
      <c r="G1589" s="49">
        <f>G1590</f>
        <v>0</v>
      </c>
      <c r="H1589" s="258" t="e">
        <f t="shared" si="181"/>
        <v>#DIV/0!</v>
      </c>
      <c r="I1589" s="55"/>
      <c r="J1589" s="55"/>
      <c r="K1589" s="55"/>
      <c r="L1589" s="217"/>
      <c r="M1589" s="217"/>
    </row>
    <row r="1590" spans="1:13" s="60" customFormat="1" hidden="1" x14ac:dyDescent="0.2">
      <c r="A1590" s="155" t="s">
        <v>50</v>
      </c>
      <c r="B1590" s="58" t="s">
        <v>802</v>
      </c>
      <c r="C1590" s="58" t="s">
        <v>308</v>
      </c>
      <c r="D1590" s="58" t="s">
        <v>853</v>
      </c>
      <c r="E1590" s="59">
        <v>870</v>
      </c>
      <c r="F1590" s="49"/>
      <c r="G1590" s="49"/>
      <c r="H1590" s="258" t="e">
        <f t="shared" si="181"/>
        <v>#DIV/0!</v>
      </c>
      <c r="I1590" s="55"/>
      <c r="J1590" s="55"/>
      <c r="K1590" s="55"/>
      <c r="L1590" s="217"/>
      <c r="M1590" s="217"/>
    </row>
    <row r="1591" spans="1:13" s="60" customFormat="1" ht="63" hidden="1" x14ac:dyDescent="0.2">
      <c r="A1591" s="103" t="s">
        <v>349</v>
      </c>
      <c r="B1591" s="58" t="s">
        <v>802</v>
      </c>
      <c r="C1591" s="58" t="s">
        <v>308</v>
      </c>
      <c r="D1591" s="58" t="s">
        <v>350</v>
      </c>
      <c r="E1591" s="59"/>
      <c r="F1591" s="49">
        <f>F1592+F1594</f>
        <v>0</v>
      </c>
      <c r="G1591" s="49">
        <f>G1592+G1594</f>
        <v>0</v>
      </c>
      <c r="H1591" s="258" t="e">
        <f t="shared" si="181"/>
        <v>#DIV/0!</v>
      </c>
      <c r="I1591" s="55"/>
      <c r="J1591" s="55"/>
      <c r="K1591" s="55"/>
      <c r="L1591" s="217"/>
      <c r="M1591" s="217"/>
    </row>
    <row r="1592" spans="1:13" s="60" customFormat="1" hidden="1" x14ac:dyDescent="0.2">
      <c r="A1592" s="63" t="s">
        <v>821</v>
      </c>
      <c r="B1592" s="58" t="s">
        <v>802</v>
      </c>
      <c r="C1592" s="58" t="s">
        <v>308</v>
      </c>
      <c r="D1592" s="58" t="s">
        <v>350</v>
      </c>
      <c r="E1592" s="59">
        <v>500</v>
      </c>
      <c r="F1592" s="49">
        <f>F1593</f>
        <v>0</v>
      </c>
      <c r="G1592" s="49">
        <f>G1593</f>
        <v>0</v>
      </c>
      <c r="H1592" s="258" t="e">
        <f t="shared" si="181"/>
        <v>#DIV/0!</v>
      </c>
      <c r="I1592" s="55"/>
      <c r="J1592" s="55"/>
      <c r="K1592" s="55"/>
      <c r="L1592" s="217"/>
      <c r="M1592" s="217"/>
    </row>
    <row r="1593" spans="1:13" s="60" customFormat="1" hidden="1" x14ac:dyDescent="0.2">
      <c r="A1593" s="63" t="s">
        <v>825</v>
      </c>
      <c r="B1593" s="58" t="s">
        <v>802</v>
      </c>
      <c r="C1593" s="58" t="s">
        <v>308</v>
      </c>
      <c r="D1593" s="58" t="s">
        <v>350</v>
      </c>
      <c r="E1593" s="59">
        <v>540</v>
      </c>
      <c r="F1593" s="49"/>
      <c r="G1593" s="49"/>
      <c r="H1593" s="258" t="e">
        <f t="shared" si="181"/>
        <v>#DIV/0!</v>
      </c>
      <c r="I1593" s="55"/>
      <c r="J1593" s="55"/>
      <c r="K1593" s="55"/>
      <c r="L1593" s="217"/>
      <c r="M1593" s="217"/>
    </row>
    <row r="1594" spans="1:13" s="60" customFormat="1" hidden="1" x14ac:dyDescent="0.2">
      <c r="A1594" s="155" t="s">
        <v>29</v>
      </c>
      <c r="B1594" s="58" t="s">
        <v>802</v>
      </c>
      <c r="C1594" s="58" t="s">
        <v>308</v>
      </c>
      <c r="D1594" s="58" t="s">
        <v>350</v>
      </c>
      <c r="E1594" s="59">
        <v>800</v>
      </c>
      <c r="F1594" s="49">
        <f>F1595</f>
        <v>0</v>
      </c>
      <c r="G1594" s="49">
        <f>G1595</f>
        <v>0</v>
      </c>
      <c r="H1594" s="258" t="e">
        <f t="shared" si="181"/>
        <v>#DIV/0!</v>
      </c>
      <c r="I1594" s="55"/>
      <c r="J1594" s="55"/>
      <c r="K1594" s="55"/>
      <c r="L1594" s="217"/>
      <c r="M1594" s="217"/>
    </row>
    <row r="1595" spans="1:13" s="60" customFormat="1" hidden="1" x14ac:dyDescent="0.2">
      <c r="A1595" s="155" t="s">
        <v>50</v>
      </c>
      <c r="B1595" s="58" t="s">
        <v>802</v>
      </c>
      <c r="C1595" s="58" t="s">
        <v>308</v>
      </c>
      <c r="D1595" s="58" t="s">
        <v>350</v>
      </c>
      <c r="E1595" s="59">
        <v>870</v>
      </c>
      <c r="F1595" s="49"/>
      <c r="G1595" s="49"/>
      <c r="H1595" s="258" t="e">
        <f t="shared" si="181"/>
        <v>#DIV/0!</v>
      </c>
      <c r="I1595" s="55"/>
      <c r="J1595" s="55"/>
      <c r="K1595" s="55"/>
      <c r="L1595" s="217"/>
      <c r="M1595" s="217"/>
    </row>
    <row r="1596" spans="1:13" s="60" customFormat="1" x14ac:dyDescent="0.2">
      <c r="A1596" s="127" t="s">
        <v>357</v>
      </c>
      <c r="B1596" s="54" t="s">
        <v>802</v>
      </c>
      <c r="C1596" s="53" t="s">
        <v>358</v>
      </c>
      <c r="D1596" s="54"/>
      <c r="E1596" s="54"/>
      <c r="F1596" s="203">
        <f>F1597+F1615+F1668</f>
        <v>9758.5999999999985</v>
      </c>
      <c r="G1596" s="203">
        <f>G1597+G1615+G1668</f>
        <v>6788</v>
      </c>
      <c r="H1596" s="258">
        <f t="shared" si="181"/>
        <v>0.69559158075953531</v>
      </c>
      <c r="I1596" s="55"/>
      <c r="J1596" s="55"/>
      <c r="K1596" s="55"/>
      <c r="L1596" s="217"/>
      <c r="M1596" s="217"/>
    </row>
    <row r="1597" spans="1:13" s="240" customFormat="1" hidden="1" x14ac:dyDescent="0.2">
      <c r="A1597" s="33" t="s">
        <v>359</v>
      </c>
      <c r="B1597" s="34" t="s">
        <v>802</v>
      </c>
      <c r="C1597" s="34" t="s">
        <v>360</v>
      </c>
      <c r="D1597" s="34"/>
      <c r="E1597" s="34"/>
      <c r="F1597" s="78">
        <f>F1598+F1606+F1611</f>
        <v>0</v>
      </c>
      <c r="G1597" s="78">
        <f>G1598+G1606+G1611</f>
        <v>0</v>
      </c>
      <c r="H1597" s="258" t="e">
        <f t="shared" si="181"/>
        <v>#DIV/0!</v>
      </c>
      <c r="I1597" s="228"/>
      <c r="J1597" s="228"/>
      <c r="K1597" s="228"/>
      <c r="L1597"/>
      <c r="M1597"/>
    </row>
    <row r="1598" spans="1:13" s="45" customFormat="1" ht="31.5" hidden="1" x14ac:dyDescent="0.2">
      <c r="A1598" s="14" t="s">
        <v>102</v>
      </c>
      <c r="B1598" s="15" t="s">
        <v>802</v>
      </c>
      <c r="C1598" s="15" t="s">
        <v>360</v>
      </c>
      <c r="D1598" s="24" t="s">
        <v>103</v>
      </c>
      <c r="E1598" s="24"/>
      <c r="F1598" s="151">
        <f t="shared" ref="F1598:G1600" si="182">F1599</f>
        <v>0</v>
      </c>
      <c r="G1598" s="151">
        <f t="shared" si="182"/>
        <v>0</v>
      </c>
      <c r="H1598" s="258" t="e">
        <f t="shared" si="181"/>
        <v>#DIV/0!</v>
      </c>
      <c r="I1598" s="228"/>
      <c r="J1598" s="228"/>
      <c r="K1598" s="228"/>
      <c r="L1598"/>
      <c r="M1598"/>
    </row>
    <row r="1599" spans="1:13" s="5" customFormat="1" ht="37.15" hidden="1" customHeight="1" x14ac:dyDescent="0.2">
      <c r="A1599" s="36" t="s">
        <v>854</v>
      </c>
      <c r="B1599" s="31" t="s">
        <v>802</v>
      </c>
      <c r="C1599" s="31" t="s">
        <v>360</v>
      </c>
      <c r="D1599" s="32" t="s">
        <v>363</v>
      </c>
      <c r="E1599" s="32"/>
      <c r="F1599" s="88">
        <f t="shared" si="182"/>
        <v>0</v>
      </c>
      <c r="G1599" s="88">
        <f t="shared" si="182"/>
        <v>0</v>
      </c>
      <c r="H1599" s="258" t="e">
        <f t="shared" si="181"/>
        <v>#DIV/0!</v>
      </c>
      <c r="I1599" s="228"/>
      <c r="J1599" s="228"/>
      <c r="K1599" s="228"/>
      <c r="L1599"/>
      <c r="M1599"/>
    </row>
    <row r="1600" spans="1:13" s="5" customFormat="1" ht="47.25" hidden="1" x14ac:dyDescent="0.2">
      <c r="A1600" s="36" t="s">
        <v>855</v>
      </c>
      <c r="B1600" s="31" t="s">
        <v>802</v>
      </c>
      <c r="C1600" s="31" t="s">
        <v>360</v>
      </c>
      <c r="D1600" s="32" t="s">
        <v>365</v>
      </c>
      <c r="E1600" s="32"/>
      <c r="F1600" s="88">
        <f t="shared" si="182"/>
        <v>0</v>
      </c>
      <c r="G1600" s="88">
        <f t="shared" si="182"/>
        <v>0</v>
      </c>
      <c r="H1600" s="258" t="e">
        <f t="shared" si="181"/>
        <v>#DIV/0!</v>
      </c>
      <c r="I1600" s="228"/>
      <c r="J1600" s="228"/>
      <c r="K1600" s="228"/>
      <c r="L1600"/>
      <c r="M1600"/>
    </row>
    <row r="1601" spans="1:13" s="5" customFormat="1" ht="33.75" hidden="1" customHeight="1" x14ac:dyDescent="0.2">
      <c r="A1601" s="36" t="s">
        <v>366</v>
      </c>
      <c r="B1601" s="40" t="s">
        <v>802</v>
      </c>
      <c r="C1601" s="193" t="s">
        <v>360</v>
      </c>
      <c r="D1601" s="32" t="s">
        <v>856</v>
      </c>
      <c r="E1601" s="106"/>
      <c r="F1601" s="88">
        <f>F1602+F1604</f>
        <v>0</v>
      </c>
      <c r="G1601" s="88">
        <f>G1602+G1604</f>
        <v>0</v>
      </c>
      <c r="H1601" s="258" t="e">
        <f t="shared" si="181"/>
        <v>#DIV/0!</v>
      </c>
      <c r="I1601" s="228"/>
      <c r="J1601" s="228"/>
      <c r="K1601" s="228"/>
      <c r="L1601"/>
      <c r="M1601"/>
    </row>
    <row r="1602" spans="1:13" s="5" customFormat="1" ht="15.75" hidden="1" customHeight="1" x14ac:dyDescent="0.2">
      <c r="A1602" s="36" t="s">
        <v>821</v>
      </c>
      <c r="B1602" s="31" t="s">
        <v>802</v>
      </c>
      <c r="C1602" s="31" t="s">
        <v>360</v>
      </c>
      <c r="D1602" s="32" t="s">
        <v>367</v>
      </c>
      <c r="E1602" s="31" t="s">
        <v>137</v>
      </c>
      <c r="F1602" s="88">
        <f>F1603</f>
        <v>0</v>
      </c>
      <c r="G1602" s="88">
        <f>G1603</f>
        <v>0</v>
      </c>
      <c r="H1602" s="258" t="e">
        <f t="shared" si="181"/>
        <v>#DIV/0!</v>
      </c>
      <c r="I1602" s="228"/>
      <c r="J1602" s="228"/>
      <c r="K1602" s="228"/>
      <c r="L1602"/>
      <c r="M1602"/>
    </row>
    <row r="1603" spans="1:13" s="28" customFormat="1" ht="17.25" hidden="1" customHeight="1" x14ac:dyDescent="0.2">
      <c r="A1603" s="36" t="s">
        <v>825</v>
      </c>
      <c r="B1603" s="31" t="s">
        <v>802</v>
      </c>
      <c r="C1603" s="31" t="s">
        <v>360</v>
      </c>
      <c r="D1603" s="32" t="s">
        <v>367</v>
      </c>
      <c r="E1603" s="31" t="s">
        <v>826</v>
      </c>
      <c r="F1603" s="88">
        <f>43.7-43.7</f>
        <v>0</v>
      </c>
      <c r="G1603" s="88">
        <f>43.7-43.7</f>
        <v>0</v>
      </c>
      <c r="H1603" s="258" t="e">
        <f t="shared" si="181"/>
        <v>#DIV/0!</v>
      </c>
      <c r="I1603" s="228"/>
      <c r="J1603" s="228"/>
      <c r="K1603" s="228"/>
      <c r="L1603"/>
      <c r="M1603"/>
    </row>
    <row r="1604" spans="1:13" s="28" customFormat="1" ht="17.25" hidden="1" customHeight="1" x14ac:dyDescent="0.2">
      <c r="A1604" s="36" t="s">
        <v>29</v>
      </c>
      <c r="B1604" s="31" t="s">
        <v>802</v>
      </c>
      <c r="C1604" s="31" t="s">
        <v>360</v>
      </c>
      <c r="D1604" s="32" t="s">
        <v>856</v>
      </c>
      <c r="E1604" s="31" t="s">
        <v>130</v>
      </c>
      <c r="F1604" s="88">
        <f>F1605</f>
        <v>0</v>
      </c>
      <c r="G1604" s="88">
        <f>G1605</f>
        <v>0</v>
      </c>
      <c r="H1604" s="258" t="e">
        <f t="shared" si="181"/>
        <v>#DIV/0!</v>
      </c>
      <c r="I1604" s="228"/>
      <c r="J1604" s="228"/>
      <c r="K1604" s="228"/>
      <c r="L1604"/>
      <c r="M1604"/>
    </row>
    <row r="1605" spans="1:13" s="28" customFormat="1" ht="18.75" hidden="1" customHeight="1" x14ac:dyDescent="0.2">
      <c r="A1605" s="36" t="s">
        <v>50</v>
      </c>
      <c r="B1605" s="31" t="s">
        <v>802</v>
      </c>
      <c r="C1605" s="31" t="s">
        <v>360</v>
      </c>
      <c r="D1605" s="32" t="s">
        <v>856</v>
      </c>
      <c r="E1605" s="31" t="s">
        <v>277</v>
      </c>
      <c r="F1605" s="88">
        <v>0</v>
      </c>
      <c r="G1605" s="88">
        <v>0</v>
      </c>
      <c r="H1605" s="258" t="e">
        <f t="shared" si="181"/>
        <v>#DIV/0!</v>
      </c>
      <c r="I1605" s="228"/>
      <c r="J1605" s="228"/>
      <c r="K1605" s="228"/>
      <c r="L1605"/>
      <c r="M1605"/>
    </row>
    <row r="1606" spans="1:13" s="28" customFormat="1" ht="18.75" hidden="1" customHeight="1" x14ac:dyDescent="0.2">
      <c r="A1606" s="23" t="s">
        <v>839</v>
      </c>
      <c r="B1606" s="15" t="s">
        <v>802</v>
      </c>
      <c r="C1606" s="15" t="s">
        <v>360</v>
      </c>
      <c r="D1606" s="24" t="s">
        <v>840</v>
      </c>
      <c r="E1606" s="15"/>
      <c r="F1606" s="151">
        <f t="shared" ref="F1606:G1609" si="183">F1607</f>
        <v>0</v>
      </c>
      <c r="G1606" s="151">
        <f t="shared" si="183"/>
        <v>0</v>
      </c>
      <c r="H1606" s="258" t="e">
        <f t="shared" si="181"/>
        <v>#DIV/0!</v>
      </c>
      <c r="I1606" s="228"/>
      <c r="J1606" s="228"/>
      <c r="K1606" s="228"/>
      <c r="L1606"/>
      <c r="M1606"/>
    </row>
    <row r="1607" spans="1:13" s="28" customFormat="1" ht="47.25" hidden="1" x14ac:dyDescent="0.2">
      <c r="A1607" s="30" t="s">
        <v>841</v>
      </c>
      <c r="B1607" s="31" t="s">
        <v>802</v>
      </c>
      <c r="C1607" s="31" t="s">
        <v>360</v>
      </c>
      <c r="D1607" s="31" t="s">
        <v>842</v>
      </c>
      <c r="E1607" s="31"/>
      <c r="F1607" s="88">
        <f t="shared" si="183"/>
        <v>0</v>
      </c>
      <c r="G1607" s="88">
        <f t="shared" si="183"/>
        <v>0</v>
      </c>
      <c r="H1607" s="258" t="e">
        <f t="shared" si="181"/>
        <v>#DIV/0!</v>
      </c>
      <c r="I1607" s="228"/>
      <c r="J1607" s="228"/>
      <c r="K1607" s="228"/>
      <c r="L1607"/>
      <c r="M1607"/>
    </row>
    <row r="1608" spans="1:13" s="28" customFormat="1" ht="63" hidden="1" x14ac:dyDescent="0.2">
      <c r="A1608" s="36" t="s">
        <v>857</v>
      </c>
      <c r="B1608" s="31" t="s">
        <v>802</v>
      </c>
      <c r="C1608" s="31" t="s">
        <v>360</v>
      </c>
      <c r="D1608" s="32" t="s">
        <v>858</v>
      </c>
      <c r="E1608" s="31"/>
      <c r="F1608" s="88">
        <f t="shared" si="183"/>
        <v>0</v>
      </c>
      <c r="G1608" s="88">
        <f t="shared" si="183"/>
        <v>0</v>
      </c>
      <c r="H1608" s="258" t="e">
        <f t="shared" si="181"/>
        <v>#DIV/0!</v>
      </c>
      <c r="I1608" s="228"/>
      <c r="J1608" s="228"/>
      <c r="K1608" s="228"/>
      <c r="L1608"/>
      <c r="M1608"/>
    </row>
    <row r="1609" spans="1:13" s="28" customFormat="1" ht="18.75" hidden="1" customHeight="1" x14ac:dyDescent="0.2">
      <c r="A1609" s="36" t="s">
        <v>821</v>
      </c>
      <c r="B1609" s="31" t="s">
        <v>802</v>
      </c>
      <c r="C1609" s="31" t="s">
        <v>360</v>
      </c>
      <c r="D1609" s="32" t="s">
        <v>858</v>
      </c>
      <c r="E1609" s="31" t="s">
        <v>137</v>
      </c>
      <c r="F1609" s="88">
        <f t="shared" si="183"/>
        <v>0</v>
      </c>
      <c r="G1609" s="88">
        <f t="shared" si="183"/>
        <v>0</v>
      </c>
      <c r="H1609" s="258" t="e">
        <f t="shared" si="181"/>
        <v>#DIV/0!</v>
      </c>
      <c r="I1609" s="228"/>
      <c r="J1609" s="228"/>
      <c r="K1609" s="228"/>
      <c r="L1609"/>
      <c r="M1609"/>
    </row>
    <row r="1610" spans="1:13" s="28" customFormat="1" ht="18.75" hidden="1" customHeight="1" x14ac:dyDescent="0.2">
      <c r="A1610" s="36" t="s">
        <v>825</v>
      </c>
      <c r="B1610" s="31" t="s">
        <v>802</v>
      </c>
      <c r="C1610" s="31" t="s">
        <v>360</v>
      </c>
      <c r="D1610" s="32" t="s">
        <v>858</v>
      </c>
      <c r="E1610" s="31" t="s">
        <v>826</v>
      </c>
      <c r="F1610" s="83"/>
      <c r="G1610" s="83"/>
      <c r="H1610" s="258" t="e">
        <f t="shared" si="181"/>
        <v>#DIV/0!</v>
      </c>
      <c r="I1610" s="228"/>
      <c r="J1610" s="228"/>
      <c r="K1610" s="228"/>
      <c r="L1610"/>
      <c r="M1610"/>
    </row>
    <row r="1611" spans="1:13" s="28" customFormat="1" hidden="1" x14ac:dyDescent="0.2">
      <c r="A1611" s="90" t="s">
        <v>120</v>
      </c>
      <c r="B1611" s="15" t="s">
        <v>802</v>
      </c>
      <c r="C1611" s="15" t="s">
        <v>360</v>
      </c>
      <c r="D1611" s="15" t="s">
        <v>121</v>
      </c>
      <c r="E1611" s="24"/>
      <c r="F1611" s="80">
        <f t="shared" ref="F1611:G1613" si="184">F1612</f>
        <v>0</v>
      </c>
      <c r="G1611" s="80">
        <f t="shared" si="184"/>
        <v>0</v>
      </c>
      <c r="H1611" s="258" t="e">
        <f t="shared" si="181"/>
        <v>#DIV/0!</v>
      </c>
      <c r="I1611" s="228"/>
      <c r="J1611" s="228"/>
      <c r="K1611" s="228"/>
      <c r="L1611"/>
      <c r="M1611"/>
    </row>
    <row r="1612" spans="1:13" s="28" customFormat="1" ht="31.5" hidden="1" x14ac:dyDescent="0.2">
      <c r="A1612" s="43" t="s">
        <v>531</v>
      </c>
      <c r="B1612" s="31" t="s">
        <v>802</v>
      </c>
      <c r="C1612" s="31" t="s">
        <v>360</v>
      </c>
      <c r="D1612" s="31" t="s">
        <v>379</v>
      </c>
      <c r="E1612" s="32"/>
      <c r="F1612" s="83">
        <f t="shared" si="184"/>
        <v>0</v>
      </c>
      <c r="G1612" s="83">
        <f t="shared" si="184"/>
        <v>0</v>
      </c>
      <c r="H1612" s="258" t="e">
        <f t="shared" si="181"/>
        <v>#DIV/0!</v>
      </c>
      <c r="I1612" s="228"/>
      <c r="J1612" s="228"/>
      <c r="K1612" s="228"/>
      <c r="L1612"/>
      <c r="M1612"/>
    </row>
    <row r="1613" spans="1:13" s="28" customFormat="1" hidden="1" x14ac:dyDescent="0.2">
      <c r="A1613" s="36" t="s">
        <v>821</v>
      </c>
      <c r="B1613" s="31" t="s">
        <v>802</v>
      </c>
      <c r="C1613" s="31" t="s">
        <v>360</v>
      </c>
      <c r="D1613" s="31" t="s">
        <v>379</v>
      </c>
      <c r="E1613" s="32">
        <v>500</v>
      </c>
      <c r="F1613" s="83">
        <f t="shared" si="184"/>
        <v>0</v>
      </c>
      <c r="G1613" s="83">
        <f t="shared" si="184"/>
        <v>0</v>
      </c>
      <c r="H1613" s="258" t="e">
        <f t="shared" si="181"/>
        <v>#DIV/0!</v>
      </c>
      <c r="I1613" s="228"/>
      <c r="J1613" s="228"/>
      <c r="K1613" s="228"/>
      <c r="L1613"/>
      <c r="M1613"/>
    </row>
    <row r="1614" spans="1:13" s="28" customFormat="1" hidden="1" x14ac:dyDescent="0.2">
      <c r="A1614" s="36" t="s">
        <v>825</v>
      </c>
      <c r="B1614" s="31" t="s">
        <v>802</v>
      </c>
      <c r="C1614" s="31" t="s">
        <v>360</v>
      </c>
      <c r="D1614" s="31" t="s">
        <v>379</v>
      </c>
      <c r="E1614" s="32">
        <v>540</v>
      </c>
      <c r="F1614" s="83"/>
      <c r="G1614" s="83"/>
      <c r="H1614" s="258" t="e">
        <f t="shared" si="181"/>
        <v>#DIV/0!</v>
      </c>
      <c r="I1614" s="228"/>
      <c r="J1614" s="228"/>
      <c r="K1614" s="228"/>
      <c r="L1614"/>
      <c r="M1614"/>
    </row>
    <row r="1615" spans="1:13" s="208" customFormat="1" x14ac:dyDescent="0.2">
      <c r="A1615" s="156" t="s">
        <v>380</v>
      </c>
      <c r="B1615" s="53" t="s">
        <v>802</v>
      </c>
      <c r="C1615" s="53" t="s">
        <v>381</v>
      </c>
      <c r="D1615" s="53"/>
      <c r="E1615" s="54"/>
      <c r="F1615" s="48">
        <f>F1616+F1632+F1660</f>
        <v>3154.8999999999996</v>
      </c>
      <c r="G1615" s="48">
        <f>G1616+G1632+G1660</f>
        <v>478.2</v>
      </c>
      <c r="H1615" s="258">
        <f t="shared" si="181"/>
        <v>0.15157374243240673</v>
      </c>
      <c r="I1615" s="55"/>
      <c r="J1615" s="55"/>
      <c r="K1615" s="55"/>
      <c r="L1615" s="217"/>
      <c r="M1615" s="217"/>
    </row>
    <row r="1616" spans="1:13" s="56" customFormat="1" x14ac:dyDescent="0.2">
      <c r="A1616" s="241" t="s">
        <v>67</v>
      </c>
      <c r="B1616" s="121" t="s">
        <v>802</v>
      </c>
      <c r="C1616" s="121" t="s">
        <v>381</v>
      </c>
      <c r="D1616" s="121" t="s">
        <v>68</v>
      </c>
      <c r="E1616" s="121"/>
      <c r="F1616" s="84">
        <f t="shared" ref="F1616:G1619" si="185">F1617</f>
        <v>33.5</v>
      </c>
      <c r="G1616" s="84">
        <f t="shared" si="185"/>
        <v>33.5</v>
      </c>
      <c r="H1616" s="258">
        <f t="shared" si="181"/>
        <v>1</v>
      </c>
      <c r="I1616" s="55"/>
      <c r="J1616" s="55"/>
      <c r="K1616" s="55"/>
      <c r="L1616" s="217"/>
      <c r="M1616" s="217"/>
    </row>
    <row r="1617" spans="1:13" s="56" customFormat="1" x14ac:dyDescent="0.2">
      <c r="A1617" s="171" t="s">
        <v>33</v>
      </c>
      <c r="B1617" s="68" t="s">
        <v>802</v>
      </c>
      <c r="C1617" s="68" t="s">
        <v>381</v>
      </c>
      <c r="D1617" s="68" t="s">
        <v>69</v>
      </c>
      <c r="E1617" s="121"/>
      <c r="F1617" s="86">
        <f t="shared" si="185"/>
        <v>33.5</v>
      </c>
      <c r="G1617" s="86">
        <f t="shared" si="185"/>
        <v>33.5</v>
      </c>
      <c r="H1617" s="258">
        <f t="shared" si="181"/>
        <v>1</v>
      </c>
      <c r="I1617" s="55"/>
      <c r="J1617" s="55"/>
      <c r="K1617" s="55"/>
      <c r="L1617" s="217"/>
      <c r="M1617" s="217"/>
    </row>
    <row r="1618" spans="1:13" s="60" customFormat="1" ht="31.5" x14ac:dyDescent="0.2">
      <c r="A1618" s="63" t="s">
        <v>70</v>
      </c>
      <c r="B1618" s="58" t="s">
        <v>802</v>
      </c>
      <c r="C1618" s="58" t="s">
        <v>381</v>
      </c>
      <c r="D1618" s="58" t="s">
        <v>71</v>
      </c>
      <c r="E1618" s="58"/>
      <c r="F1618" s="82">
        <f t="shared" si="185"/>
        <v>33.5</v>
      </c>
      <c r="G1618" s="82">
        <f t="shared" si="185"/>
        <v>33.5</v>
      </c>
      <c r="H1618" s="258">
        <f t="shared" si="181"/>
        <v>1</v>
      </c>
      <c r="I1618" s="55"/>
      <c r="J1618" s="55"/>
      <c r="K1618" s="55"/>
      <c r="L1618" s="217"/>
      <c r="M1618" s="217"/>
    </row>
    <row r="1619" spans="1:13" s="72" customFormat="1" x14ac:dyDescent="0.2">
      <c r="A1619" s="63" t="s">
        <v>821</v>
      </c>
      <c r="B1619" s="58" t="s">
        <v>802</v>
      </c>
      <c r="C1619" s="58" t="s">
        <v>381</v>
      </c>
      <c r="D1619" s="58" t="s">
        <v>71</v>
      </c>
      <c r="E1619" s="58" t="s">
        <v>137</v>
      </c>
      <c r="F1619" s="82">
        <f t="shared" si="185"/>
        <v>33.5</v>
      </c>
      <c r="G1619" s="82">
        <f t="shared" si="185"/>
        <v>33.5</v>
      </c>
      <c r="H1619" s="258">
        <f t="shared" si="181"/>
        <v>1</v>
      </c>
      <c r="I1619" s="55"/>
      <c r="J1619" s="55"/>
      <c r="K1619" s="55"/>
      <c r="L1619" s="217"/>
      <c r="M1619" s="217"/>
    </row>
    <row r="1620" spans="1:13" s="56" customFormat="1" ht="17.25" customHeight="1" x14ac:dyDescent="0.2">
      <c r="A1620" s="63" t="s">
        <v>825</v>
      </c>
      <c r="B1620" s="58" t="s">
        <v>802</v>
      </c>
      <c r="C1620" s="58" t="s">
        <v>381</v>
      </c>
      <c r="D1620" s="58" t="s">
        <v>71</v>
      </c>
      <c r="E1620" s="58" t="s">
        <v>826</v>
      </c>
      <c r="F1620" s="82">
        <v>33.5</v>
      </c>
      <c r="G1620" s="82">
        <v>33.5</v>
      </c>
      <c r="H1620" s="258">
        <f t="shared" si="181"/>
        <v>1</v>
      </c>
      <c r="I1620" s="55"/>
      <c r="J1620" s="55"/>
      <c r="K1620" s="55"/>
      <c r="L1620" s="217"/>
      <c r="M1620" s="217"/>
    </row>
    <row r="1621" spans="1:13" s="60" customFormat="1" ht="47.25" hidden="1" x14ac:dyDescent="0.2">
      <c r="A1621" s="64" t="s">
        <v>827</v>
      </c>
      <c r="B1621" s="53" t="s">
        <v>802</v>
      </c>
      <c r="C1621" s="53" t="s">
        <v>381</v>
      </c>
      <c r="D1621" s="53" t="s">
        <v>249</v>
      </c>
      <c r="E1621" s="53"/>
      <c r="F1621" s="65">
        <f>F1622</f>
        <v>0</v>
      </c>
      <c r="G1621" s="65">
        <f>G1622</f>
        <v>0</v>
      </c>
      <c r="H1621" s="258" t="e">
        <f t="shared" si="181"/>
        <v>#DIV/0!</v>
      </c>
      <c r="I1621" s="55"/>
      <c r="J1621" s="55"/>
      <c r="K1621" s="55"/>
      <c r="L1621" s="217"/>
      <c r="M1621" s="217"/>
    </row>
    <row r="1622" spans="1:13" s="56" customFormat="1" ht="31.5" hidden="1" x14ac:dyDescent="0.2">
      <c r="A1622" s="63" t="s">
        <v>828</v>
      </c>
      <c r="B1622" s="58" t="s">
        <v>802</v>
      </c>
      <c r="C1622" s="58" t="s">
        <v>381</v>
      </c>
      <c r="D1622" s="58" t="s">
        <v>829</v>
      </c>
      <c r="E1622" s="58"/>
      <c r="F1622" s="82">
        <f>F1623</f>
        <v>0</v>
      </c>
      <c r="G1622" s="82">
        <f>G1623</f>
        <v>0</v>
      </c>
      <c r="H1622" s="258" t="e">
        <f t="shared" si="181"/>
        <v>#DIV/0!</v>
      </c>
      <c r="I1622" s="55"/>
      <c r="J1622" s="55"/>
      <c r="K1622" s="55"/>
      <c r="L1622" s="217"/>
      <c r="M1622" s="217"/>
    </row>
    <row r="1623" spans="1:13" s="56" customFormat="1" ht="31.5" hidden="1" x14ac:dyDescent="0.2">
      <c r="A1623" s="63" t="s">
        <v>859</v>
      </c>
      <c r="B1623" s="58" t="s">
        <v>802</v>
      </c>
      <c r="C1623" s="58" t="s">
        <v>381</v>
      </c>
      <c r="D1623" s="58" t="s">
        <v>860</v>
      </c>
      <c r="E1623" s="58"/>
      <c r="F1623" s="82">
        <f>F1624+F1638</f>
        <v>0</v>
      </c>
      <c r="G1623" s="82">
        <f>G1624+G1638</f>
        <v>0</v>
      </c>
      <c r="H1623" s="258" t="e">
        <f t="shared" si="181"/>
        <v>#DIV/0!</v>
      </c>
      <c r="I1623" s="55"/>
      <c r="J1623" s="55"/>
      <c r="K1623" s="55"/>
      <c r="L1623" s="217"/>
      <c r="M1623" s="217"/>
    </row>
    <row r="1624" spans="1:13" s="56" customFormat="1" ht="31.5" hidden="1" x14ac:dyDescent="0.2">
      <c r="A1624" s="63" t="s">
        <v>861</v>
      </c>
      <c r="B1624" s="58" t="s">
        <v>802</v>
      </c>
      <c r="C1624" s="58" t="s">
        <v>381</v>
      </c>
      <c r="D1624" s="58" t="s">
        <v>862</v>
      </c>
      <c r="E1624" s="58"/>
      <c r="F1624" s="82">
        <f>F1625+F1629</f>
        <v>0</v>
      </c>
      <c r="G1624" s="82">
        <f>G1625+G1629</f>
        <v>0</v>
      </c>
      <c r="H1624" s="258" t="e">
        <f t="shared" si="181"/>
        <v>#DIV/0!</v>
      </c>
      <c r="I1624" s="55"/>
      <c r="J1624" s="55"/>
      <c r="K1624" s="55"/>
      <c r="L1624" s="217"/>
      <c r="M1624" s="217"/>
    </row>
    <row r="1625" spans="1:13" s="56" customFormat="1" hidden="1" x14ac:dyDescent="0.2">
      <c r="A1625" s="63" t="s">
        <v>821</v>
      </c>
      <c r="B1625" s="58" t="s">
        <v>802</v>
      </c>
      <c r="C1625" s="58" t="s">
        <v>381</v>
      </c>
      <c r="D1625" s="58" t="s">
        <v>862</v>
      </c>
      <c r="E1625" s="58" t="s">
        <v>137</v>
      </c>
      <c r="F1625" s="82">
        <f>F1626</f>
        <v>0</v>
      </c>
      <c r="G1625" s="82">
        <f>G1626</f>
        <v>0</v>
      </c>
      <c r="H1625" s="258" t="e">
        <f t="shared" si="181"/>
        <v>#DIV/0!</v>
      </c>
      <c r="I1625" s="55"/>
      <c r="J1625" s="55"/>
      <c r="K1625" s="55"/>
      <c r="L1625" s="217"/>
      <c r="M1625" s="217"/>
    </row>
    <row r="1626" spans="1:13" s="56" customFormat="1" hidden="1" x14ac:dyDescent="0.2">
      <c r="A1626" s="63" t="s">
        <v>825</v>
      </c>
      <c r="B1626" s="58" t="s">
        <v>802</v>
      </c>
      <c r="C1626" s="58" t="s">
        <v>381</v>
      </c>
      <c r="D1626" s="58" t="s">
        <v>862</v>
      </c>
      <c r="E1626" s="58" t="s">
        <v>826</v>
      </c>
      <c r="F1626" s="82">
        <v>0</v>
      </c>
      <c r="G1626" s="82">
        <v>0</v>
      </c>
      <c r="H1626" s="258" t="e">
        <f t="shared" si="181"/>
        <v>#DIV/0!</v>
      </c>
      <c r="I1626" s="55"/>
      <c r="J1626" s="55"/>
      <c r="K1626" s="55"/>
      <c r="L1626" s="217"/>
      <c r="M1626" s="217"/>
    </row>
    <row r="1627" spans="1:13" s="56" customFormat="1" ht="25.5" hidden="1" x14ac:dyDescent="0.2">
      <c r="A1627" s="242" t="s">
        <v>863</v>
      </c>
      <c r="B1627" s="243" t="s">
        <v>802</v>
      </c>
      <c r="C1627" s="243" t="s">
        <v>381</v>
      </c>
      <c r="D1627" s="243" t="s">
        <v>862</v>
      </c>
      <c r="E1627" s="243" t="s">
        <v>826</v>
      </c>
      <c r="F1627" s="244">
        <v>0</v>
      </c>
      <c r="G1627" s="244">
        <v>0</v>
      </c>
      <c r="H1627" s="258" t="e">
        <f t="shared" si="181"/>
        <v>#DIV/0!</v>
      </c>
      <c r="I1627" s="55"/>
      <c r="J1627" s="55"/>
      <c r="K1627" s="55"/>
      <c r="L1627" s="217"/>
      <c r="M1627" s="217"/>
    </row>
    <row r="1628" spans="1:13" s="56" customFormat="1" ht="31.5" hidden="1" x14ac:dyDescent="0.2">
      <c r="A1628" s="63" t="s">
        <v>861</v>
      </c>
      <c r="B1628" s="58" t="s">
        <v>802</v>
      </c>
      <c r="C1628" s="58" t="s">
        <v>381</v>
      </c>
      <c r="D1628" s="58" t="s">
        <v>864</v>
      </c>
      <c r="E1628" s="243"/>
      <c r="F1628" s="244"/>
      <c r="G1628" s="244"/>
      <c r="H1628" s="258" t="e">
        <f t="shared" si="181"/>
        <v>#DIV/0!</v>
      </c>
      <c r="I1628" s="55"/>
      <c r="J1628" s="55"/>
      <c r="K1628" s="55"/>
      <c r="L1628" s="217"/>
      <c r="M1628" s="217"/>
    </row>
    <row r="1629" spans="1:13" s="56" customFormat="1" hidden="1" x14ac:dyDescent="0.2">
      <c r="A1629" s="63" t="s">
        <v>821</v>
      </c>
      <c r="B1629" s="58" t="s">
        <v>802</v>
      </c>
      <c r="C1629" s="58" t="s">
        <v>381</v>
      </c>
      <c r="D1629" s="58" t="s">
        <v>864</v>
      </c>
      <c r="E1629" s="58" t="s">
        <v>137</v>
      </c>
      <c r="F1629" s="82">
        <f>F1630</f>
        <v>0</v>
      </c>
      <c r="G1629" s="82">
        <f>G1630</f>
        <v>0</v>
      </c>
      <c r="H1629" s="258" t="e">
        <f t="shared" si="181"/>
        <v>#DIV/0!</v>
      </c>
      <c r="I1629" s="55"/>
      <c r="J1629" s="55"/>
      <c r="K1629" s="55"/>
      <c r="L1629" s="217"/>
      <c r="M1629" s="217"/>
    </row>
    <row r="1630" spans="1:13" s="56" customFormat="1" hidden="1" x14ac:dyDescent="0.2">
      <c r="A1630" s="63" t="s">
        <v>825</v>
      </c>
      <c r="B1630" s="58" t="s">
        <v>802</v>
      </c>
      <c r="C1630" s="58" t="s">
        <v>381</v>
      </c>
      <c r="D1630" s="58" t="s">
        <v>864</v>
      </c>
      <c r="E1630" s="58" t="s">
        <v>826</v>
      </c>
      <c r="F1630" s="82">
        <v>0</v>
      </c>
      <c r="G1630" s="82">
        <v>0</v>
      </c>
      <c r="H1630" s="258" t="e">
        <f t="shared" si="181"/>
        <v>#DIV/0!</v>
      </c>
      <c r="I1630" s="55"/>
      <c r="J1630" s="55"/>
      <c r="K1630" s="55"/>
      <c r="L1630" s="217"/>
      <c r="M1630" s="217"/>
    </row>
    <row r="1631" spans="1:13" s="56" customFormat="1" ht="25.5" hidden="1" x14ac:dyDescent="0.2">
      <c r="A1631" s="242" t="s">
        <v>863</v>
      </c>
      <c r="B1631" s="243" t="s">
        <v>802</v>
      </c>
      <c r="C1631" s="243" t="s">
        <v>381</v>
      </c>
      <c r="D1631" s="243" t="s">
        <v>864</v>
      </c>
      <c r="E1631" s="243" t="s">
        <v>826</v>
      </c>
      <c r="F1631" s="244">
        <v>0</v>
      </c>
      <c r="G1631" s="244">
        <v>0</v>
      </c>
      <c r="H1631" s="258" t="e">
        <f t="shared" si="181"/>
        <v>#DIV/0!</v>
      </c>
      <c r="I1631" s="55"/>
      <c r="J1631" s="55"/>
      <c r="K1631" s="55"/>
      <c r="L1631" s="217"/>
      <c r="M1631" s="217"/>
    </row>
    <row r="1632" spans="1:13" s="60" customFormat="1" ht="47.25" x14ac:dyDescent="0.2">
      <c r="A1632" s="127" t="s">
        <v>391</v>
      </c>
      <c r="B1632" s="58" t="s">
        <v>802</v>
      </c>
      <c r="C1632" s="58" t="s">
        <v>381</v>
      </c>
      <c r="D1632" s="53" t="s">
        <v>392</v>
      </c>
      <c r="E1632" s="53"/>
      <c r="F1632" s="65">
        <f t="shared" ref="F1632:G1636" si="186">F1633</f>
        <v>2676.7</v>
      </c>
      <c r="G1632" s="65">
        <f t="shared" si="186"/>
        <v>0</v>
      </c>
      <c r="H1632" s="258">
        <f t="shared" si="181"/>
        <v>0</v>
      </c>
      <c r="I1632" s="55"/>
      <c r="J1632" s="55"/>
      <c r="K1632" s="55"/>
      <c r="L1632" s="217"/>
      <c r="M1632" s="217"/>
    </row>
    <row r="1633" spans="1:13" s="56" customFormat="1" ht="31.5" x14ac:dyDescent="0.2">
      <c r="A1633" s="103" t="s">
        <v>393</v>
      </c>
      <c r="B1633" s="58" t="s">
        <v>802</v>
      </c>
      <c r="C1633" s="58" t="s">
        <v>381</v>
      </c>
      <c r="D1633" s="58" t="s">
        <v>394</v>
      </c>
      <c r="E1633" s="58"/>
      <c r="F1633" s="82">
        <f t="shared" si="186"/>
        <v>2676.7</v>
      </c>
      <c r="G1633" s="82">
        <f t="shared" si="186"/>
        <v>0</v>
      </c>
      <c r="H1633" s="258">
        <f t="shared" si="181"/>
        <v>0</v>
      </c>
      <c r="I1633" s="228"/>
      <c r="J1633" s="228"/>
      <c r="K1633" s="228"/>
      <c r="L1633"/>
      <c r="M1633"/>
    </row>
    <row r="1634" spans="1:13" s="56" customFormat="1" ht="47.25" x14ac:dyDescent="0.2">
      <c r="A1634" s="103" t="s">
        <v>395</v>
      </c>
      <c r="B1634" s="58" t="s">
        <v>802</v>
      </c>
      <c r="C1634" s="58" t="s">
        <v>381</v>
      </c>
      <c r="D1634" s="58" t="s">
        <v>396</v>
      </c>
      <c r="E1634" s="58"/>
      <c r="F1634" s="82">
        <f t="shared" si="186"/>
        <v>2676.7</v>
      </c>
      <c r="G1634" s="82">
        <f t="shared" si="186"/>
        <v>0</v>
      </c>
      <c r="H1634" s="258">
        <f t="shared" si="181"/>
        <v>0</v>
      </c>
      <c r="I1634" s="228"/>
      <c r="J1634" s="228"/>
      <c r="K1634" s="228"/>
      <c r="L1634"/>
      <c r="M1634"/>
    </row>
    <row r="1635" spans="1:13" s="56" customFormat="1" ht="63" x14ac:dyDescent="0.2">
      <c r="A1635" s="103" t="s">
        <v>397</v>
      </c>
      <c r="B1635" s="58" t="s">
        <v>802</v>
      </c>
      <c r="C1635" s="58" t="s">
        <v>381</v>
      </c>
      <c r="D1635" s="58" t="s">
        <v>398</v>
      </c>
      <c r="E1635" s="58"/>
      <c r="F1635" s="82">
        <f t="shared" si="186"/>
        <v>2676.7</v>
      </c>
      <c r="G1635" s="82">
        <f t="shared" si="186"/>
        <v>0</v>
      </c>
      <c r="H1635" s="258">
        <f t="shared" si="181"/>
        <v>0</v>
      </c>
      <c r="I1635" s="228"/>
      <c r="J1635" s="228"/>
      <c r="K1635" s="228"/>
      <c r="L1635"/>
      <c r="M1635"/>
    </row>
    <row r="1636" spans="1:13" s="56" customFormat="1" ht="19.899999999999999" customHeight="1" x14ac:dyDescent="0.2">
      <c r="A1636" s="36" t="s">
        <v>821</v>
      </c>
      <c r="B1636" s="58" t="s">
        <v>802</v>
      </c>
      <c r="C1636" s="58" t="s">
        <v>381</v>
      </c>
      <c r="D1636" s="58" t="s">
        <v>398</v>
      </c>
      <c r="E1636" s="58" t="s">
        <v>137</v>
      </c>
      <c r="F1636" s="82">
        <f t="shared" si="186"/>
        <v>2676.7</v>
      </c>
      <c r="G1636" s="82">
        <f t="shared" si="186"/>
        <v>0</v>
      </c>
      <c r="H1636" s="258">
        <f t="shared" si="181"/>
        <v>0</v>
      </c>
      <c r="I1636" s="228"/>
      <c r="J1636" s="228"/>
      <c r="K1636" s="228"/>
      <c r="L1636"/>
      <c r="M1636"/>
    </row>
    <row r="1637" spans="1:13" s="56" customFormat="1" ht="19.149999999999999" customHeight="1" x14ac:dyDescent="0.2">
      <c r="A1637" s="36" t="s">
        <v>825</v>
      </c>
      <c r="B1637" s="58" t="s">
        <v>802</v>
      </c>
      <c r="C1637" s="58" t="s">
        <v>381</v>
      </c>
      <c r="D1637" s="58" t="s">
        <v>398</v>
      </c>
      <c r="E1637" s="58" t="s">
        <v>826</v>
      </c>
      <c r="F1637" s="82">
        <v>2676.7</v>
      </c>
      <c r="G1637" s="82">
        <v>0</v>
      </c>
      <c r="H1637" s="258">
        <f t="shared" si="181"/>
        <v>0</v>
      </c>
      <c r="I1637" s="228"/>
      <c r="J1637" s="228"/>
      <c r="K1637" s="228"/>
      <c r="L1637"/>
      <c r="M1637"/>
    </row>
    <row r="1638" spans="1:13" s="247" customFormat="1" ht="31.5" hidden="1" x14ac:dyDescent="0.2">
      <c r="A1638" s="245" t="s">
        <v>865</v>
      </c>
      <c r="B1638" s="246" t="s">
        <v>802</v>
      </c>
      <c r="C1638" s="246" t="s">
        <v>381</v>
      </c>
      <c r="D1638" s="246" t="s">
        <v>866</v>
      </c>
      <c r="E1638" s="246"/>
      <c r="F1638" s="82">
        <f>F1639+F1641</f>
        <v>0</v>
      </c>
      <c r="G1638" s="82">
        <f>G1639+G1641</f>
        <v>0</v>
      </c>
      <c r="H1638" s="258" t="e">
        <f t="shared" si="181"/>
        <v>#DIV/0!</v>
      </c>
      <c r="I1638" s="228"/>
      <c r="J1638" s="228"/>
      <c r="K1638" s="228"/>
      <c r="L1638"/>
      <c r="M1638"/>
    </row>
    <row r="1639" spans="1:13" s="5" customFormat="1" hidden="1" x14ac:dyDescent="0.2">
      <c r="A1639" s="36" t="s">
        <v>821</v>
      </c>
      <c r="B1639" s="31" t="s">
        <v>802</v>
      </c>
      <c r="C1639" s="31" t="s">
        <v>381</v>
      </c>
      <c r="D1639" s="31" t="s">
        <v>866</v>
      </c>
      <c r="E1639" s="31" t="s">
        <v>137</v>
      </c>
      <c r="F1639" s="82">
        <f>F1640</f>
        <v>0</v>
      </c>
      <c r="G1639" s="82">
        <f>G1640</f>
        <v>0</v>
      </c>
      <c r="H1639" s="258" t="e">
        <f t="shared" si="181"/>
        <v>#DIV/0!</v>
      </c>
      <c r="I1639" s="228"/>
      <c r="J1639" s="228"/>
      <c r="K1639" s="228"/>
      <c r="L1639"/>
      <c r="M1639"/>
    </row>
    <row r="1640" spans="1:13" s="5" customFormat="1" hidden="1" x14ac:dyDescent="0.2">
      <c r="A1640" s="36" t="s">
        <v>825</v>
      </c>
      <c r="B1640" s="31" t="s">
        <v>802</v>
      </c>
      <c r="C1640" s="31" t="s">
        <v>381</v>
      </c>
      <c r="D1640" s="31" t="s">
        <v>866</v>
      </c>
      <c r="E1640" s="31" t="s">
        <v>826</v>
      </c>
      <c r="F1640" s="82"/>
      <c r="G1640" s="82"/>
      <c r="H1640" s="258" t="e">
        <f t="shared" si="181"/>
        <v>#DIV/0!</v>
      </c>
      <c r="I1640" s="228"/>
      <c r="J1640" s="228"/>
      <c r="K1640" s="228"/>
      <c r="L1640"/>
      <c r="M1640"/>
    </row>
    <row r="1641" spans="1:13" s="5" customFormat="1" ht="17.25" hidden="1" customHeight="1" x14ac:dyDescent="0.2">
      <c r="A1641" s="81" t="s">
        <v>29</v>
      </c>
      <c r="B1641" s="31" t="s">
        <v>802</v>
      </c>
      <c r="C1641" s="31" t="s">
        <v>381</v>
      </c>
      <c r="D1641" s="31" t="s">
        <v>866</v>
      </c>
      <c r="E1641" s="31" t="s">
        <v>130</v>
      </c>
      <c r="F1641" s="82">
        <f>F1642</f>
        <v>0</v>
      </c>
      <c r="G1641" s="82">
        <f>G1642</f>
        <v>0</v>
      </c>
      <c r="H1641" s="258" t="e">
        <f t="shared" ref="H1641:H1704" si="187">G1641/F1641</f>
        <v>#DIV/0!</v>
      </c>
      <c r="I1641" s="228"/>
      <c r="J1641" s="228"/>
      <c r="K1641" s="228"/>
      <c r="L1641"/>
      <c r="M1641"/>
    </row>
    <row r="1642" spans="1:13" s="5" customFormat="1" ht="17.25" hidden="1" customHeight="1" x14ac:dyDescent="0.2">
      <c r="A1642" s="81" t="s">
        <v>50</v>
      </c>
      <c r="B1642" s="31" t="s">
        <v>802</v>
      </c>
      <c r="C1642" s="31" t="s">
        <v>381</v>
      </c>
      <c r="D1642" s="31" t="s">
        <v>866</v>
      </c>
      <c r="E1642" s="31" t="s">
        <v>277</v>
      </c>
      <c r="F1642" s="82">
        <v>0</v>
      </c>
      <c r="G1642" s="82">
        <v>0</v>
      </c>
      <c r="H1642" s="258" t="e">
        <f t="shared" si="187"/>
        <v>#DIV/0!</v>
      </c>
      <c r="I1642" s="228"/>
      <c r="J1642" s="228"/>
      <c r="K1642" s="228"/>
      <c r="L1642"/>
      <c r="M1642"/>
    </row>
    <row r="1643" spans="1:13" s="5" customFormat="1" ht="17.25" hidden="1" customHeight="1" x14ac:dyDescent="0.2">
      <c r="A1643" s="23" t="s">
        <v>839</v>
      </c>
      <c r="B1643" s="15" t="s">
        <v>802</v>
      </c>
      <c r="C1643" s="15" t="s">
        <v>381</v>
      </c>
      <c r="D1643" s="15" t="s">
        <v>840</v>
      </c>
      <c r="E1643" s="24"/>
      <c r="F1643" s="48">
        <f>F1644+F1657</f>
        <v>0</v>
      </c>
      <c r="G1643" s="48">
        <f>G1644+G1657</f>
        <v>0</v>
      </c>
      <c r="H1643" s="258" t="e">
        <f t="shared" si="187"/>
        <v>#DIV/0!</v>
      </c>
      <c r="I1643" s="228"/>
      <c r="J1643" s="228"/>
      <c r="K1643" s="228"/>
      <c r="L1643"/>
      <c r="M1643"/>
    </row>
    <row r="1644" spans="1:13" s="5" customFormat="1" ht="47.25" hidden="1" x14ac:dyDescent="0.2">
      <c r="A1644" s="30" t="s">
        <v>841</v>
      </c>
      <c r="B1644" s="31" t="s">
        <v>802</v>
      </c>
      <c r="C1644" s="31" t="s">
        <v>381</v>
      </c>
      <c r="D1644" s="31" t="s">
        <v>842</v>
      </c>
      <c r="E1644" s="32"/>
      <c r="F1644" s="49">
        <f>F1645+F1648+F1654+F1651</f>
        <v>0</v>
      </c>
      <c r="G1644" s="49">
        <f>G1645+G1648+G1654+G1651</f>
        <v>0</v>
      </c>
      <c r="H1644" s="258" t="e">
        <f t="shared" si="187"/>
        <v>#DIV/0!</v>
      </c>
      <c r="I1644" s="228"/>
      <c r="J1644" s="228"/>
      <c r="K1644" s="228"/>
      <c r="L1644"/>
      <c r="M1644"/>
    </row>
    <row r="1645" spans="1:13" s="5" customFormat="1" ht="47.25" hidden="1" x14ac:dyDescent="0.2">
      <c r="A1645" s="30" t="s">
        <v>867</v>
      </c>
      <c r="B1645" s="31" t="s">
        <v>802</v>
      </c>
      <c r="C1645" s="31" t="s">
        <v>381</v>
      </c>
      <c r="D1645" s="31" t="s">
        <v>868</v>
      </c>
      <c r="E1645" s="31"/>
      <c r="F1645" s="82">
        <f>F1647</f>
        <v>0</v>
      </c>
      <c r="G1645" s="82">
        <f>G1647</f>
        <v>0</v>
      </c>
      <c r="H1645" s="258" t="e">
        <f t="shared" si="187"/>
        <v>#DIV/0!</v>
      </c>
      <c r="I1645" s="228"/>
      <c r="J1645" s="228"/>
      <c r="K1645" s="228"/>
      <c r="L1645"/>
      <c r="M1645"/>
    </row>
    <row r="1646" spans="1:13" s="5" customFormat="1" hidden="1" x14ac:dyDescent="0.2">
      <c r="A1646" s="36" t="s">
        <v>821</v>
      </c>
      <c r="B1646" s="31" t="s">
        <v>802</v>
      </c>
      <c r="C1646" s="31" t="s">
        <v>381</v>
      </c>
      <c r="D1646" s="31" t="s">
        <v>868</v>
      </c>
      <c r="E1646" s="31" t="s">
        <v>137</v>
      </c>
      <c r="F1646" s="82">
        <f>F1647</f>
        <v>0</v>
      </c>
      <c r="G1646" s="82">
        <f>G1647</f>
        <v>0</v>
      </c>
      <c r="H1646" s="258" t="e">
        <f t="shared" si="187"/>
        <v>#DIV/0!</v>
      </c>
      <c r="I1646" s="228"/>
      <c r="J1646" s="228"/>
      <c r="K1646" s="228"/>
      <c r="L1646"/>
      <c r="M1646"/>
    </row>
    <row r="1647" spans="1:13" s="5" customFormat="1" hidden="1" x14ac:dyDescent="0.2">
      <c r="A1647" s="36" t="s">
        <v>825</v>
      </c>
      <c r="B1647" s="31" t="s">
        <v>802</v>
      </c>
      <c r="C1647" s="31" t="s">
        <v>381</v>
      </c>
      <c r="D1647" s="31" t="s">
        <v>868</v>
      </c>
      <c r="E1647" s="31" t="s">
        <v>826</v>
      </c>
      <c r="F1647" s="82"/>
      <c r="G1647" s="82"/>
      <c r="H1647" s="258" t="e">
        <f t="shared" si="187"/>
        <v>#DIV/0!</v>
      </c>
      <c r="I1647" s="228"/>
      <c r="J1647" s="228"/>
      <c r="K1647" s="228"/>
      <c r="L1647"/>
      <c r="M1647"/>
    </row>
    <row r="1648" spans="1:13" s="5" customFormat="1" ht="63" hidden="1" customHeight="1" x14ac:dyDescent="0.2">
      <c r="A1648" s="30" t="s">
        <v>869</v>
      </c>
      <c r="B1648" s="31" t="s">
        <v>802</v>
      </c>
      <c r="C1648" s="31" t="s">
        <v>381</v>
      </c>
      <c r="D1648" s="31" t="s">
        <v>846</v>
      </c>
      <c r="E1648" s="31"/>
      <c r="F1648" s="82">
        <f>F1649</f>
        <v>0</v>
      </c>
      <c r="G1648" s="82">
        <f>G1649</f>
        <v>0</v>
      </c>
      <c r="H1648" s="258" t="e">
        <f t="shared" si="187"/>
        <v>#DIV/0!</v>
      </c>
      <c r="I1648" s="228"/>
      <c r="J1648" s="228"/>
      <c r="K1648" s="228"/>
      <c r="L1648"/>
      <c r="M1648"/>
    </row>
    <row r="1649" spans="1:13" s="5" customFormat="1" hidden="1" x14ac:dyDescent="0.2">
      <c r="A1649" s="36" t="s">
        <v>821</v>
      </c>
      <c r="B1649" s="31" t="s">
        <v>802</v>
      </c>
      <c r="C1649" s="31" t="s">
        <v>381</v>
      </c>
      <c r="D1649" s="31" t="s">
        <v>846</v>
      </c>
      <c r="E1649" s="31" t="s">
        <v>137</v>
      </c>
      <c r="F1649" s="82">
        <f>F1650</f>
        <v>0</v>
      </c>
      <c r="G1649" s="82">
        <f>G1650</f>
        <v>0</v>
      </c>
      <c r="H1649" s="258" t="e">
        <f t="shared" si="187"/>
        <v>#DIV/0!</v>
      </c>
      <c r="I1649" s="228"/>
      <c r="J1649" s="228"/>
      <c r="K1649" s="228"/>
      <c r="L1649"/>
      <c r="M1649"/>
    </row>
    <row r="1650" spans="1:13" s="5" customFormat="1" hidden="1" x14ac:dyDescent="0.2">
      <c r="A1650" s="36" t="s">
        <v>825</v>
      </c>
      <c r="B1650" s="31" t="s">
        <v>802</v>
      </c>
      <c r="C1650" s="31" t="s">
        <v>381</v>
      </c>
      <c r="D1650" s="31" t="s">
        <v>846</v>
      </c>
      <c r="E1650" s="31" t="s">
        <v>826</v>
      </c>
      <c r="F1650" s="82"/>
      <c r="G1650" s="82"/>
      <c r="H1650" s="258" t="e">
        <f t="shared" si="187"/>
        <v>#DIV/0!</v>
      </c>
      <c r="I1650" s="228"/>
      <c r="J1650" s="228"/>
      <c r="K1650" s="228"/>
      <c r="L1650"/>
      <c r="M1650"/>
    </row>
    <row r="1651" spans="1:13" s="5" customFormat="1" ht="47.25" hidden="1" x14ac:dyDescent="0.2">
      <c r="A1651" s="30" t="s">
        <v>870</v>
      </c>
      <c r="B1651" s="31" t="s">
        <v>802</v>
      </c>
      <c r="C1651" s="31" t="s">
        <v>381</v>
      </c>
      <c r="D1651" s="31" t="s">
        <v>871</v>
      </c>
      <c r="E1651" s="31"/>
      <c r="F1651" s="82">
        <f>F1652</f>
        <v>0</v>
      </c>
      <c r="G1651" s="82">
        <f>G1652</f>
        <v>0</v>
      </c>
      <c r="H1651" s="258" t="e">
        <f t="shared" si="187"/>
        <v>#DIV/0!</v>
      </c>
      <c r="I1651" s="228"/>
      <c r="J1651" s="228"/>
      <c r="K1651" s="228"/>
      <c r="L1651"/>
      <c r="M1651"/>
    </row>
    <row r="1652" spans="1:13" s="5" customFormat="1" hidden="1" x14ac:dyDescent="0.2">
      <c r="A1652" s="36" t="s">
        <v>821</v>
      </c>
      <c r="B1652" s="31" t="s">
        <v>802</v>
      </c>
      <c r="C1652" s="31" t="s">
        <v>381</v>
      </c>
      <c r="D1652" s="31" t="s">
        <v>871</v>
      </c>
      <c r="E1652" s="31" t="s">
        <v>137</v>
      </c>
      <c r="F1652" s="82">
        <f>F1653</f>
        <v>0</v>
      </c>
      <c r="G1652" s="82">
        <f>G1653</f>
        <v>0</v>
      </c>
      <c r="H1652" s="258" t="e">
        <f t="shared" si="187"/>
        <v>#DIV/0!</v>
      </c>
      <c r="I1652" s="228"/>
      <c r="J1652" s="228"/>
      <c r="K1652" s="228"/>
      <c r="L1652"/>
      <c r="M1652"/>
    </row>
    <row r="1653" spans="1:13" s="5" customFormat="1" hidden="1" x14ac:dyDescent="0.2">
      <c r="A1653" s="36" t="s">
        <v>825</v>
      </c>
      <c r="B1653" s="31" t="s">
        <v>802</v>
      </c>
      <c r="C1653" s="31" t="s">
        <v>381</v>
      </c>
      <c r="D1653" s="31" t="s">
        <v>871</v>
      </c>
      <c r="E1653" s="31" t="s">
        <v>826</v>
      </c>
      <c r="F1653" s="82"/>
      <c r="G1653" s="82"/>
      <c r="H1653" s="258" t="e">
        <f t="shared" si="187"/>
        <v>#DIV/0!</v>
      </c>
      <c r="I1653" s="228"/>
      <c r="J1653" s="228"/>
      <c r="K1653" s="228"/>
      <c r="L1653"/>
      <c r="M1653"/>
    </row>
    <row r="1654" spans="1:13" s="5" customFormat="1" ht="47.25" hidden="1" x14ac:dyDescent="0.2">
      <c r="A1654" s="30" t="s">
        <v>872</v>
      </c>
      <c r="B1654" s="31" t="s">
        <v>802</v>
      </c>
      <c r="C1654" s="31" t="s">
        <v>381</v>
      </c>
      <c r="D1654" s="31" t="s">
        <v>873</v>
      </c>
      <c r="E1654" s="31"/>
      <c r="F1654" s="82">
        <f>F1655</f>
        <v>0</v>
      </c>
      <c r="G1654" s="82">
        <f>G1655</f>
        <v>0</v>
      </c>
      <c r="H1654" s="258" t="e">
        <f t="shared" si="187"/>
        <v>#DIV/0!</v>
      </c>
      <c r="I1654" s="228"/>
      <c r="J1654" s="228"/>
      <c r="K1654" s="228"/>
      <c r="L1654"/>
      <c r="M1654"/>
    </row>
    <row r="1655" spans="1:13" s="5" customFormat="1" hidden="1" x14ac:dyDescent="0.2">
      <c r="A1655" s="36" t="s">
        <v>821</v>
      </c>
      <c r="B1655" s="31" t="s">
        <v>802</v>
      </c>
      <c r="C1655" s="31" t="s">
        <v>381</v>
      </c>
      <c r="D1655" s="31" t="s">
        <v>873</v>
      </c>
      <c r="E1655" s="31" t="s">
        <v>137</v>
      </c>
      <c r="F1655" s="82">
        <f>F1656</f>
        <v>0</v>
      </c>
      <c r="G1655" s="82">
        <f>G1656</f>
        <v>0</v>
      </c>
      <c r="H1655" s="258" t="e">
        <f t="shared" si="187"/>
        <v>#DIV/0!</v>
      </c>
      <c r="I1655" s="228"/>
      <c r="J1655" s="228"/>
      <c r="K1655" s="228"/>
      <c r="L1655"/>
      <c r="M1655"/>
    </row>
    <row r="1656" spans="1:13" s="5" customFormat="1" hidden="1" x14ac:dyDescent="0.2">
      <c r="A1656" s="36" t="s">
        <v>825</v>
      </c>
      <c r="B1656" s="31" t="s">
        <v>802</v>
      </c>
      <c r="C1656" s="31" t="s">
        <v>381</v>
      </c>
      <c r="D1656" s="31" t="s">
        <v>873</v>
      </c>
      <c r="E1656" s="31" t="s">
        <v>826</v>
      </c>
      <c r="F1656" s="82"/>
      <c r="G1656" s="82"/>
      <c r="H1656" s="258" t="e">
        <f t="shared" si="187"/>
        <v>#DIV/0!</v>
      </c>
      <c r="I1656" s="228"/>
      <c r="J1656" s="228"/>
      <c r="K1656" s="228"/>
      <c r="L1656"/>
      <c r="M1656"/>
    </row>
    <row r="1657" spans="1:13" s="5" customFormat="1" ht="47.25" hidden="1" x14ac:dyDescent="0.2">
      <c r="A1657" s="112" t="s">
        <v>874</v>
      </c>
      <c r="B1657" s="31" t="s">
        <v>802</v>
      </c>
      <c r="C1657" s="31" t="s">
        <v>381</v>
      </c>
      <c r="D1657" s="31" t="s">
        <v>875</v>
      </c>
      <c r="E1657" s="31"/>
      <c r="F1657" s="82">
        <f>F1658</f>
        <v>0</v>
      </c>
      <c r="G1657" s="82">
        <f>G1658</f>
        <v>0</v>
      </c>
      <c r="H1657" s="258" t="e">
        <f t="shared" si="187"/>
        <v>#DIV/0!</v>
      </c>
      <c r="I1657" s="228"/>
      <c r="J1657" s="228"/>
      <c r="K1657" s="228"/>
      <c r="L1657"/>
      <c r="M1657"/>
    </row>
    <row r="1658" spans="1:13" s="5" customFormat="1" hidden="1" x14ac:dyDescent="0.2">
      <c r="A1658" s="36" t="s">
        <v>821</v>
      </c>
      <c r="B1658" s="31" t="s">
        <v>802</v>
      </c>
      <c r="C1658" s="31" t="s">
        <v>381</v>
      </c>
      <c r="D1658" s="31" t="s">
        <v>875</v>
      </c>
      <c r="E1658" s="31" t="s">
        <v>137</v>
      </c>
      <c r="F1658" s="82">
        <f>F1659</f>
        <v>0</v>
      </c>
      <c r="G1658" s="82">
        <f>G1659</f>
        <v>0</v>
      </c>
      <c r="H1658" s="258" t="e">
        <f t="shared" si="187"/>
        <v>#DIV/0!</v>
      </c>
      <c r="I1658" s="228"/>
      <c r="J1658" s="228"/>
      <c r="K1658" s="228"/>
      <c r="L1658"/>
      <c r="M1658"/>
    </row>
    <row r="1659" spans="1:13" s="5" customFormat="1" hidden="1" x14ac:dyDescent="0.2">
      <c r="A1659" s="36" t="s">
        <v>825</v>
      </c>
      <c r="B1659" s="31" t="s">
        <v>802</v>
      </c>
      <c r="C1659" s="31" t="s">
        <v>381</v>
      </c>
      <c r="D1659" s="31" t="s">
        <v>875</v>
      </c>
      <c r="E1659" s="31" t="s">
        <v>826</v>
      </c>
      <c r="F1659" s="82"/>
      <c r="G1659" s="82"/>
      <c r="H1659" s="258" t="e">
        <f t="shared" si="187"/>
        <v>#DIV/0!</v>
      </c>
      <c r="I1659" s="228"/>
      <c r="J1659" s="228"/>
      <c r="K1659" s="228"/>
      <c r="L1659"/>
      <c r="M1659"/>
    </row>
    <row r="1660" spans="1:13" s="72" customFormat="1" x14ac:dyDescent="0.2">
      <c r="A1660" s="127" t="s">
        <v>197</v>
      </c>
      <c r="B1660" s="53" t="s">
        <v>8</v>
      </c>
      <c r="C1660" s="53" t="s">
        <v>381</v>
      </c>
      <c r="D1660" s="53" t="s">
        <v>198</v>
      </c>
      <c r="E1660" s="54"/>
      <c r="F1660" s="48">
        <f>F1661</f>
        <v>444.7</v>
      </c>
      <c r="G1660" s="48">
        <f>G1661</f>
        <v>444.7</v>
      </c>
      <c r="H1660" s="258">
        <f t="shared" si="187"/>
        <v>1</v>
      </c>
      <c r="I1660" s="228"/>
      <c r="J1660" s="228"/>
      <c r="K1660" s="228"/>
      <c r="L1660"/>
      <c r="M1660"/>
    </row>
    <row r="1661" spans="1:13" s="45" customFormat="1" ht="47.25" x14ac:dyDescent="0.2">
      <c r="A1661" s="105" t="s">
        <v>423</v>
      </c>
      <c r="B1661" s="40" t="s">
        <v>8</v>
      </c>
      <c r="C1661" s="40" t="s">
        <v>381</v>
      </c>
      <c r="D1661" s="162" t="s">
        <v>424</v>
      </c>
      <c r="E1661" s="106"/>
      <c r="F1661" s="42">
        <f>F1664</f>
        <v>444.7</v>
      </c>
      <c r="G1661" s="42">
        <f>G1664</f>
        <v>444.7</v>
      </c>
      <c r="H1661" s="258">
        <f t="shared" si="187"/>
        <v>1</v>
      </c>
      <c r="I1661" s="228"/>
      <c r="J1661" s="228"/>
      <c r="K1661" s="228"/>
      <c r="L1661"/>
      <c r="M1661"/>
    </row>
    <row r="1662" spans="1:13" s="45" customFormat="1" ht="31.5" hidden="1" x14ac:dyDescent="0.2">
      <c r="A1662" s="57" t="s">
        <v>25</v>
      </c>
      <c r="B1662" s="40" t="s">
        <v>8</v>
      </c>
      <c r="C1662" s="40" t="s">
        <v>381</v>
      </c>
      <c r="D1662" s="31" t="s">
        <v>424</v>
      </c>
      <c r="E1662" s="32">
        <v>200</v>
      </c>
      <c r="F1662" s="29">
        <f>F1663</f>
        <v>0</v>
      </c>
      <c r="G1662" s="29">
        <f>G1663</f>
        <v>0</v>
      </c>
      <c r="H1662" s="258" t="e">
        <f t="shared" si="187"/>
        <v>#DIV/0!</v>
      </c>
      <c r="I1662" s="228"/>
      <c r="J1662" s="228"/>
      <c r="K1662" s="228"/>
      <c r="L1662"/>
      <c r="M1662"/>
    </row>
    <row r="1663" spans="1:13" s="45" customFormat="1" ht="31.5" hidden="1" x14ac:dyDescent="0.2">
      <c r="A1663" s="57" t="s">
        <v>26</v>
      </c>
      <c r="B1663" s="40" t="s">
        <v>8</v>
      </c>
      <c r="C1663" s="40" t="s">
        <v>381</v>
      </c>
      <c r="D1663" s="31" t="s">
        <v>424</v>
      </c>
      <c r="E1663" s="32">
        <v>240</v>
      </c>
      <c r="F1663" s="29">
        <v>0</v>
      </c>
      <c r="G1663" s="29">
        <v>0</v>
      </c>
      <c r="H1663" s="258" t="e">
        <f t="shared" si="187"/>
        <v>#DIV/0!</v>
      </c>
      <c r="I1663" s="228"/>
      <c r="J1663" s="228"/>
      <c r="K1663" s="228"/>
      <c r="L1663"/>
      <c r="M1663"/>
    </row>
    <row r="1664" spans="1:13" s="72" customFormat="1" ht="31.5" x14ac:dyDescent="0.2">
      <c r="A1664" s="57" t="s">
        <v>425</v>
      </c>
      <c r="B1664" s="58" t="s">
        <v>8</v>
      </c>
      <c r="C1664" s="58" t="s">
        <v>381</v>
      </c>
      <c r="D1664" s="58" t="s">
        <v>426</v>
      </c>
      <c r="E1664" s="58"/>
      <c r="F1664" s="49">
        <f t="shared" ref="F1664:G1666" si="188">F1665</f>
        <v>444.7</v>
      </c>
      <c r="G1664" s="49">
        <f t="shared" si="188"/>
        <v>444.7</v>
      </c>
      <c r="H1664" s="258">
        <f t="shared" si="187"/>
        <v>1</v>
      </c>
      <c r="I1664" s="228"/>
      <c r="J1664" s="228"/>
      <c r="K1664" s="228"/>
      <c r="L1664"/>
      <c r="M1664"/>
    </row>
    <row r="1665" spans="1:13" s="45" customFormat="1" ht="63" x14ac:dyDescent="0.2">
      <c r="A1665" s="157" t="s">
        <v>427</v>
      </c>
      <c r="B1665" s="31" t="s">
        <v>8</v>
      </c>
      <c r="C1665" s="31" t="s">
        <v>381</v>
      </c>
      <c r="D1665" s="31" t="s">
        <v>428</v>
      </c>
      <c r="E1665" s="32"/>
      <c r="F1665" s="29">
        <f t="shared" si="188"/>
        <v>444.7</v>
      </c>
      <c r="G1665" s="29">
        <f t="shared" si="188"/>
        <v>444.7</v>
      </c>
      <c r="H1665" s="258">
        <f t="shared" si="187"/>
        <v>1</v>
      </c>
      <c r="I1665" s="228"/>
      <c r="J1665" s="228"/>
      <c r="K1665" s="228"/>
      <c r="L1665"/>
      <c r="M1665"/>
    </row>
    <row r="1666" spans="1:13" s="45" customFormat="1" x14ac:dyDescent="0.2">
      <c r="A1666" s="36" t="s">
        <v>821</v>
      </c>
      <c r="B1666" s="31" t="s">
        <v>8</v>
      </c>
      <c r="C1666" s="31" t="s">
        <v>381</v>
      </c>
      <c r="D1666" s="31" t="s">
        <v>428</v>
      </c>
      <c r="E1666" s="32">
        <v>500</v>
      </c>
      <c r="F1666" s="29">
        <f t="shared" si="188"/>
        <v>444.7</v>
      </c>
      <c r="G1666" s="29">
        <f t="shared" si="188"/>
        <v>444.7</v>
      </c>
      <c r="H1666" s="258">
        <f t="shared" si="187"/>
        <v>1</v>
      </c>
      <c r="I1666" s="228"/>
      <c r="J1666" s="228"/>
      <c r="K1666" s="228"/>
      <c r="L1666"/>
      <c r="M1666"/>
    </row>
    <row r="1667" spans="1:13" s="45" customFormat="1" x14ac:dyDescent="0.2">
      <c r="A1667" s="36" t="s">
        <v>825</v>
      </c>
      <c r="B1667" s="31" t="s">
        <v>8</v>
      </c>
      <c r="C1667" s="31" t="s">
        <v>381</v>
      </c>
      <c r="D1667" s="31" t="s">
        <v>428</v>
      </c>
      <c r="E1667" s="32">
        <v>540</v>
      </c>
      <c r="F1667" s="29">
        <v>444.7</v>
      </c>
      <c r="G1667" s="29">
        <v>444.7</v>
      </c>
      <c r="H1667" s="258">
        <f t="shared" si="187"/>
        <v>1</v>
      </c>
      <c r="I1667" s="228"/>
      <c r="J1667" s="228"/>
      <c r="K1667" s="228"/>
      <c r="L1667"/>
      <c r="M1667"/>
    </row>
    <row r="1668" spans="1:13" s="45" customFormat="1" x14ac:dyDescent="0.2">
      <c r="A1668" s="23" t="s">
        <v>433</v>
      </c>
      <c r="B1668" s="15" t="s">
        <v>802</v>
      </c>
      <c r="C1668" s="15" t="s">
        <v>434</v>
      </c>
      <c r="D1668" s="31"/>
      <c r="E1668" s="32"/>
      <c r="F1668" s="25">
        <f>F1680+F1686+F1693</f>
        <v>6603.7</v>
      </c>
      <c r="G1668" s="25">
        <f>G1680+G1686+G1693</f>
        <v>6309.8</v>
      </c>
      <c r="H1668" s="258">
        <f t="shared" si="187"/>
        <v>0.95549464694035169</v>
      </c>
      <c r="I1668" s="228"/>
      <c r="J1668" s="228"/>
      <c r="K1668" s="228"/>
      <c r="L1668"/>
      <c r="M1668"/>
    </row>
    <row r="1669" spans="1:13" s="91" customFormat="1" hidden="1" x14ac:dyDescent="0.2">
      <c r="A1669" s="64" t="s">
        <v>67</v>
      </c>
      <c r="B1669" s="53" t="s">
        <v>802</v>
      </c>
      <c r="C1669" s="53" t="s">
        <v>434</v>
      </c>
      <c r="D1669" s="53" t="s">
        <v>68</v>
      </c>
      <c r="E1669" s="53" t="s">
        <v>4</v>
      </c>
      <c r="F1669" s="65">
        <f t="shared" ref="F1669:G1672" si="189">F1670</f>
        <v>0</v>
      </c>
      <c r="G1669" s="65">
        <f t="shared" si="189"/>
        <v>0</v>
      </c>
      <c r="H1669" s="258" t="e">
        <f t="shared" si="187"/>
        <v>#DIV/0!</v>
      </c>
      <c r="I1669" s="228"/>
      <c r="J1669" s="228"/>
      <c r="K1669" s="228"/>
      <c r="L1669"/>
      <c r="M1669"/>
    </row>
    <row r="1670" spans="1:13" s="98" customFormat="1" hidden="1" x14ac:dyDescent="0.2">
      <c r="A1670" s="36" t="s">
        <v>33</v>
      </c>
      <c r="B1670" s="31" t="s">
        <v>802</v>
      </c>
      <c r="C1670" s="31" t="s">
        <v>434</v>
      </c>
      <c r="D1670" s="31" t="s">
        <v>69</v>
      </c>
      <c r="E1670" s="31" t="s">
        <v>4</v>
      </c>
      <c r="F1670" s="88">
        <f t="shared" si="189"/>
        <v>0</v>
      </c>
      <c r="G1670" s="88">
        <f t="shared" si="189"/>
        <v>0</v>
      </c>
      <c r="H1670" s="258" t="e">
        <f t="shared" si="187"/>
        <v>#DIV/0!</v>
      </c>
      <c r="I1670" s="228"/>
      <c r="J1670" s="228"/>
      <c r="K1670" s="228"/>
      <c r="L1670"/>
      <c r="M1670"/>
    </row>
    <row r="1671" spans="1:13" s="98" customFormat="1" ht="31.5" hidden="1" x14ac:dyDescent="0.2">
      <c r="A1671" s="85" t="s">
        <v>70</v>
      </c>
      <c r="B1671" s="40" t="s">
        <v>802</v>
      </c>
      <c r="C1671" s="40" t="s">
        <v>434</v>
      </c>
      <c r="D1671" s="40" t="s">
        <v>71</v>
      </c>
      <c r="E1671" s="40"/>
      <c r="F1671" s="152">
        <f t="shared" si="189"/>
        <v>0</v>
      </c>
      <c r="G1671" s="152">
        <f t="shared" si="189"/>
        <v>0</v>
      </c>
      <c r="H1671" s="258" t="e">
        <f t="shared" si="187"/>
        <v>#DIV/0!</v>
      </c>
      <c r="I1671" s="228"/>
      <c r="J1671" s="228"/>
      <c r="K1671" s="228"/>
      <c r="L1671"/>
      <c r="M1671"/>
    </row>
    <row r="1672" spans="1:13" s="98" customFormat="1" hidden="1" x14ac:dyDescent="0.2">
      <c r="A1672" s="36" t="s">
        <v>821</v>
      </c>
      <c r="B1672" s="31" t="s">
        <v>802</v>
      </c>
      <c r="C1672" s="31" t="s">
        <v>434</v>
      </c>
      <c r="D1672" s="31" t="s">
        <v>71</v>
      </c>
      <c r="E1672" s="31" t="s">
        <v>137</v>
      </c>
      <c r="F1672" s="88">
        <f t="shared" si="189"/>
        <v>0</v>
      </c>
      <c r="G1672" s="88">
        <f t="shared" si="189"/>
        <v>0</v>
      </c>
      <c r="H1672" s="258" t="e">
        <f t="shared" si="187"/>
        <v>#DIV/0!</v>
      </c>
      <c r="I1672" s="228"/>
      <c r="J1672" s="228"/>
      <c r="K1672" s="228"/>
      <c r="L1672"/>
      <c r="M1672"/>
    </row>
    <row r="1673" spans="1:13" s="98" customFormat="1" hidden="1" x14ac:dyDescent="0.2">
      <c r="A1673" s="36" t="s">
        <v>825</v>
      </c>
      <c r="B1673" s="31" t="s">
        <v>802</v>
      </c>
      <c r="C1673" s="31" t="s">
        <v>434</v>
      </c>
      <c r="D1673" s="31" t="s">
        <v>71</v>
      </c>
      <c r="E1673" s="31" t="s">
        <v>826</v>
      </c>
      <c r="F1673" s="88"/>
      <c r="G1673" s="88"/>
      <c r="H1673" s="258" t="e">
        <f t="shared" si="187"/>
        <v>#DIV/0!</v>
      </c>
      <c r="I1673" s="228"/>
      <c r="J1673" s="228"/>
      <c r="K1673" s="228"/>
      <c r="L1673"/>
      <c r="M1673"/>
    </row>
    <row r="1674" spans="1:13" s="45" customFormat="1" ht="31.5" hidden="1" x14ac:dyDescent="0.2">
      <c r="A1674" s="23" t="s">
        <v>876</v>
      </c>
      <c r="B1674" s="15" t="s">
        <v>802</v>
      </c>
      <c r="C1674" s="15" t="s">
        <v>434</v>
      </c>
      <c r="D1674" s="201" t="s">
        <v>877</v>
      </c>
      <c r="E1674" s="194"/>
      <c r="F1674" s="25">
        <f t="shared" ref="F1674:G1678" si="190">F1675</f>
        <v>0</v>
      </c>
      <c r="G1674" s="25">
        <f t="shared" si="190"/>
        <v>0</v>
      </c>
      <c r="H1674" s="258" t="e">
        <f t="shared" si="187"/>
        <v>#DIV/0!</v>
      </c>
      <c r="I1674" s="228"/>
      <c r="J1674" s="228"/>
      <c r="K1674" s="228"/>
      <c r="L1674"/>
      <c r="M1674"/>
    </row>
    <row r="1675" spans="1:13" s="45" customFormat="1" ht="31.5" hidden="1" x14ac:dyDescent="0.2">
      <c r="A1675" s="30" t="s">
        <v>878</v>
      </c>
      <c r="B1675" s="193" t="s">
        <v>802</v>
      </c>
      <c r="C1675" s="193" t="s">
        <v>434</v>
      </c>
      <c r="D1675" s="193" t="s">
        <v>879</v>
      </c>
      <c r="E1675" s="32"/>
      <c r="F1675" s="29">
        <f t="shared" si="190"/>
        <v>0</v>
      </c>
      <c r="G1675" s="29">
        <f t="shared" si="190"/>
        <v>0</v>
      </c>
      <c r="H1675" s="258" t="e">
        <f t="shared" si="187"/>
        <v>#DIV/0!</v>
      </c>
      <c r="I1675" s="228"/>
      <c r="J1675" s="228"/>
      <c r="K1675" s="228"/>
      <c r="L1675"/>
      <c r="M1675"/>
    </row>
    <row r="1676" spans="1:13" s="45" customFormat="1" ht="31.5" hidden="1" x14ac:dyDescent="0.2">
      <c r="A1676" s="30" t="s">
        <v>880</v>
      </c>
      <c r="B1676" s="193" t="s">
        <v>802</v>
      </c>
      <c r="C1676" s="193" t="s">
        <v>434</v>
      </c>
      <c r="D1676" s="193" t="s">
        <v>881</v>
      </c>
      <c r="E1676" s="32"/>
      <c r="F1676" s="29">
        <f t="shared" si="190"/>
        <v>0</v>
      </c>
      <c r="G1676" s="29">
        <f t="shared" si="190"/>
        <v>0</v>
      </c>
      <c r="H1676" s="258" t="e">
        <f t="shared" si="187"/>
        <v>#DIV/0!</v>
      </c>
      <c r="I1676" s="228"/>
      <c r="J1676" s="228"/>
      <c r="K1676" s="228"/>
      <c r="L1676"/>
      <c r="M1676"/>
    </row>
    <row r="1677" spans="1:13" s="45" customFormat="1" ht="31.5" hidden="1" x14ac:dyDescent="0.2">
      <c r="A1677" s="30" t="s">
        <v>882</v>
      </c>
      <c r="B1677" s="193" t="s">
        <v>802</v>
      </c>
      <c r="C1677" s="193" t="s">
        <v>434</v>
      </c>
      <c r="D1677" s="193" t="s">
        <v>883</v>
      </c>
      <c r="E1677" s="32"/>
      <c r="F1677" s="29">
        <f t="shared" si="190"/>
        <v>0</v>
      </c>
      <c r="G1677" s="29">
        <f t="shared" si="190"/>
        <v>0</v>
      </c>
      <c r="H1677" s="258" t="e">
        <f t="shared" si="187"/>
        <v>#DIV/0!</v>
      </c>
      <c r="I1677" s="228"/>
      <c r="J1677" s="228"/>
      <c r="K1677" s="228"/>
      <c r="L1677"/>
      <c r="M1677"/>
    </row>
    <row r="1678" spans="1:13" s="45" customFormat="1" hidden="1" x14ac:dyDescent="0.2">
      <c r="A1678" s="36" t="s">
        <v>821</v>
      </c>
      <c r="B1678" s="193" t="s">
        <v>802</v>
      </c>
      <c r="C1678" s="193" t="s">
        <v>434</v>
      </c>
      <c r="D1678" s="193" t="s">
        <v>883</v>
      </c>
      <c r="E1678" s="32">
        <v>500</v>
      </c>
      <c r="F1678" s="29">
        <f t="shared" si="190"/>
        <v>0</v>
      </c>
      <c r="G1678" s="29">
        <f t="shared" si="190"/>
        <v>0</v>
      </c>
      <c r="H1678" s="258" t="e">
        <f t="shared" si="187"/>
        <v>#DIV/0!</v>
      </c>
      <c r="I1678" s="228"/>
      <c r="J1678" s="228"/>
      <c r="K1678" s="228"/>
      <c r="L1678"/>
      <c r="M1678"/>
    </row>
    <row r="1679" spans="1:13" s="45" customFormat="1" hidden="1" x14ac:dyDescent="0.2">
      <c r="A1679" s="36" t="s">
        <v>825</v>
      </c>
      <c r="B1679" s="193" t="s">
        <v>802</v>
      </c>
      <c r="C1679" s="193" t="s">
        <v>434</v>
      </c>
      <c r="D1679" s="193" t="s">
        <v>883</v>
      </c>
      <c r="E1679" s="32">
        <v>540</v>
      </c>
      <c r="F1679" s="29"/>
      <c r="G1679" s="29"/>
      <c r="H1679" s="258" t="e">
        <f t="shared" si="187"/>
        <v>#DIV/0!</v>
      </c>
      <c r="I1679" s="228"/>
      <c r="J1679" s="228"/>
      <c r="K1679" s="228"/>
      <c r="L1679"/>
      <c r="M1679"/>
    </row>
    <row r="1680" spans="1:13" s="102" customFormat="1" ht="31.5" x14ac:dyDescent="0.2">
      <c r="A1680" s="92" t="s">
        <v>884</v>
      </c>
      <c r="B1680" s="93" t="s">
        <v>802</v>
      </c>
      <c r="C1680" s="93" t="s">
        <v>434</v>
      </c>
      <c r="D1680" s="93" t="s">
        <v>103</v>
      </c>
      <c r="E1680" s="94"/>
      <c r="F1680" s="95">
        <f t="shared" ref="F1680:G1684" si="191">F1681</f>
        <v>5853.3</v>
      </c>
      <c r="G1680" s="95">
        <f t="shared" si="191"/>
        <v>5588.8</v>
      </c>
      <c r="H1680" s="258">
        <f t="shared" si="187"/>
        <v>0.9548118155570362</v>
      </c>
      <c r="I1680" s="228"/>
      <c r="J1680" s="228"/>
      <c r="K1680" s="228"/>
      <c r="L1680"/>
      <c r="M1680"/>
    </row>
    <row r="1681" spans="1:13" s="102" customFormat="1" ht="19.899999999999999" customHeight="1" x14ac:dyDescent="0.2">
      <c r="A1681" s="148" t="s">
        <v>471</v>
      </c>
      <c r="B1681" s="100" t="s">
        <v>802</v>
      </c>
      <c r="C1681" s="100" t="s">
        <v>434</v>
      </c>
      <c r="D1681" s="100" t="s">
        <v>885</v>
      </c>
      <c r="E1681" s="101"/>
      <c r="F1681" s="97">
        <f t="shared" si="191"/>
        <v>5853.3</v>
      </c>
      <c r="G1681" s="97">
        <f t="shared" si="191"/>
        <v>5588.8</v>
      </c>
      <c r="H1681" s="258">
        <f t="shared" si="187"/>
        <v>0.9548118155570362</v>
      </c>
      <c r="I1681" s="228"/>
      <c r="J1681" s="228"/>
      <c r="K1681" s="228"/>
      <c r="L1681"/>
      <c r="M1681"/>
    </row>
    <row r="1682" spans="1:13" s="102" customFormat="1" ht="31.5" x14ac:dyDescent="0.2">
      <c r="A1682" s="148" t="s">
        <v>886</v>
      </c>
      <c r="B1682" s="100" t="s">
        <v>802</v>
      </c>
      <c r="C1682" s="100" t="s">
        <v>434</v>
      </c>
      <c r="D1682" s="100" t="s">
        <v>887</v>
      </c>
      <c r="E1682" s="101"/>
      <c r="F1682" s="97">
        <f t="shared" si="191"/>
        <v>5853.3</v>
      </c>
      <c r="G1682" s="97">
        <f t="shared" si="191"/>
        <v>5588.8</v>
      </c>
      <c r="H1682" s="258">
        <f t="shared" si="187"/>
        <v>0.9548118155570362</v>
      </c>
      <c r="I1682" s="228"/>
      <c r="J1682" s="228"/>
      <c r="K1682" s="228"/>
      <c r="L1682"/>
      <c r="M1682"/>
    </row>
    <row r="1683" spans="1:13" s="102" customFormat="1" ht="31.5" x14ac:dyDescent="0.2">
      <c r="A1683" s="148" t="s">
        <v>888</v>
      </c>
      <c r="B1683" s="100" t="s">
        <v>802</v>
      </c>
      <c r="C1683" s="100" t="s">
        <v>434</v>
      </c>
      <c r="D1683" s="100" t="s">
        <v>889</v>
      </c>
      <c r="E1683" s="101"/>
      <c r="F1683" s="97">
        <f t="shared" si="191"/>
        <v>5853.3</v>
      </c>
      <c r="G1683" s="97">
        <f t="shared" si="191"/>
        <v>5588.8</v>
      </c>
      <c r="H1683" s="258">
        <f t="shared" si="187"/>
        <v>0.9548118155570362</v>
      </c>
      <c r="I1683" s="228"/>
      <c r="J1683" s="228"/>
      <c r="K1683" s="228"/>
      <c r="L1683"/>
      <c r="M1683"/>
    </row>
    <row r="1684" spans="1:13" s="102" customFormat="1" x14ac:dyDescent="0.2">
      <c r="A1684" s="148" t="s">
        <v>821</v>
      </c>
      <c r="B1684" s="100" t="s">
        <v>802</v>
      </c>
      <c r="C1684" s="100" t="s">
        <v>434</v>
      </c>
      <c r="D1684" s="100" t="s">
        <v>889</v>
      </c>
      <c r="E1684" s="101">
        <v>500</v>
      </c>
      <c r="F1684" s="97">
        <f t="shared" si="191"/>
        <v>5853.3</v>
      </c>
      <c r="G1684" s="97">
        <f t="shared" si="191"/>
        <v>5588.8</v>
      </c>
      <c r="H1684" s="258">
        <f t="shared" si="187"/>
        <v>0.9548118155570362</v>
      </c>
      <c r="I1684" s="228"/>
      <c r="J1684" s="228"/>
      <c r="K1684" s="228"/>
      <c r="L1684"/>
      <c r="M1684"/>
    </row>
    <row r="1685" spans="1:13" s="102" customFormat="1" x14ac:dyDescent="0.2">
      <c r="A1685" s="148" t="s">
        <v>825</v>
      </c>
      <c r="B1685" s="100" t="s">
        <v>802</v>
      </c>
      <c r="C1685" s="100" t="s">
        <v>434</v>
      </c>
      <c r="D1685" s="100" t="s">
        <v>889</v>
      </c>
      <c r="E1685" s="101">
        <v>540</v>
      </c>
      <c r="F1685" s="97">
        <f>5677.7+175.6</f>
        <v>5853.3</v>
      </c>
      <c r="G1685" s="97">
        <v>5588.8</v>
      </c>
      <c r="H1685" s="258">
        <f t="shared" si="187"/>
        <v>0.9548118155570362</v>
      </c>
      <c r="I1685" s="228"/>
      <c r="J1685" s="228"/>
      <c r="K1685" s="228"/>
      <c r="L1685"/>
      <c r="M1685"/>
    </row>
    <row r="1686" spans="1:13" s="102" customFormat="1" x14ac:dyDescent="0.2">
      <c r="A1686" s="23" t="s">
        <v>197</v>
      </c>
      <c r="B1686" s="174" t="s">
        <v>802</v>
      </c>
      <c r="C1686" s="174" t="s">
        <v>434</v>
      </c>
      <c r="D1686" s="248" t="s">
        <v>889</v>
      </c>
      <c r="E1686" s="179"/>
      <c r="F1686" s="95">
        <f t="shared" ref="F1686:G1689" si="192">F1687</f>
        <v>650.4</v>
      </c>
      <c r="G1686" s="95">
        <f t="shared" si="192"/>
        <v>621</v>
      </c>
      <c r="H1686" s="258">
        <f t="shared" si="187"/>
        <v>0.95479704797047971</v>
      </c>
      <c r="I1686" s="228"/>
      <c r="J1686" s="228"/>
      <c r="K1686" s="228"/>
      <c r="L1686"/>
      <c r="M1686"/>
    </row>
    <row r="1687" spans="1:13" s="113" customFormat="1" ht="47.25" x14ac:dyDescent="0.2">
      <c r="A1687" s="105" t="s">
        <v>890</v>
      </c>
      <c r="B1687" s="184" t="s">
        <v>802</v>
      </c>
      <c r="C1687" s="184" t="s">
        <v>434</v>
      </c>
      <c r="D1687" s="184" t="s">
        <v>889</v>
      </c>
      <c r="E1687" s="187"/>
      <c r="F1687" s="110">
        <f t="shared" si="192"/>
        <v>650.4</v>
      </c>
      <c r="G1687" s="110">
        <f t="shared" si="192"/>
        <v>621</v>
      </c>
      <c r="H1687" s="258">
        <f t="shared" si="187"/>
        <v>0.95479704797047971</v>
      </c>
      <c r="I1687" s="228"/>
      <c r="J1687" s="228"/>
      <c r="K1687" s="228"/>
      <c r="L1687"/>
      <c r="M1687"/>
    </row>
    <row r="1688" spans="1:13" s="102" customFormat="1" ht="31.5" x14ac:dyDescent="0.2">
      <c r="A1688" s="148" t="s">
        <v>891</v>
      </c>
      <c r="B1688" s="108" t="s">
        <v>802</v>
      </c>
      <c r="C1688" s="108" t="s">
        <v>434</v>
      </c>
      <c r="D1688" s="108" t="s">
        <v>889</v>
      </c>
      <c r="E1688" s="108"/>
      <c r="F1688" s="110">
        <f t="shared" si="192"/>
        <v>650.4</v>
      </c>
      <c r="G1688" s="110">
        <f t="shared" si="192"/>
        <v>621</v>
      </c>
      <c r="H1688" s="258">
        <f t="shared" si="187"/>
        <v>0.95479704797047971</v>
      </c>
      <c r="I1688" s="228"/>
      <c r="J1688" s="228"/>
      <c r="K1688" s="228"/>
      <c r="L1688"/>
      <c r="M1688"/>
    </row>
    <row r="1689" spans="1:13" s="116" customFormat="1" x14ac:dyDescent="0.2">
      <c r="A1689" s="148" t="s">
        <v>821</v>
      </c>
      <c r="B1689" s="100" t="s">
        <v>802</v>
      </c>
      <c r="C1689" s="100" t="s">
        <v>434</v>
      </c>
      <c r="D1689" s="100" t="s">
        <v>889</v>
      </c>
      <c r="E1689" s="101">
        <v>500</v>
      </c>
      <c r="F1689" s="97">
        <f t="shared" si="192"/>
        <v>650.4</v>
      </c>
      <c r="G1689" s="97">
        <f t="shared" si="192"/>
        <v>621</v>
      </c>
      <c r="H1689" s="258">
        <f t="shared" si="187"/>
        <v>0.95479704797047971</v>
      </c>
      <c r="I1689" s="228"/>
      <c r="J1689" s="228"/>
      <c r="K1689" s="228"/>
      <c r="L1689"/>
      <c r="M1689"/>
    </row>
    <row r="1690" spans="1:13" s="116" customFormat="1" x14ac:dyDescent="0.2">
      <c r="A1690" s="148" t="s">
        <v>825</v>
      </c>
      <c r="B1690" s="100" t="s">
        <v>802</v>
      </c>
      <c r="C1690" s="100" t="s">
        <v>434</v>
      </c>
      <c r="D1690" s="100" t="s">
        <v>889</v>
      </c>
      <c r="E1690" s="101">
        <v>540</v>
      </c>
      <c r="F1690" s="97">
        <f>50+600.4</f>
        <v>650.4</v>
      </c>
      <c r="G1690" s="97">
        <v>621</v>
      </c>
      <c r="H1690" s="258">
        <f t="shared" si="187"/>
        <v>0.95479704797047971</v>
      </c>
      <c r="I1690" s="228"/>
      <c r="J1690" s="228"/>
      <c r="K1690" s="228"/>
      <c r="L1690"/>
      <c r="M1690"/>
    </row>
    <row r="1691" spans="1:13" s="116" customFormat="1" hidden="1" x14ac:dyDescent="0.2">
      <c r="A1691" s="36" t="s">
        <v>29</v>
      </c>
      <c r="B1691" s="100" t="s">
        <v>802</v>
      </c>
      <c r="C1691" s="100" t="s">
        <v>434</v>
      </c>
      <c r="D1691" s="100" t="s">
        <v>889</v>
      </c>
      <c r="E1691" s="31" t="s">
        <v>130</v>
      </c>
      <c r="F1691" s="97">
        <f>F1692</f>
        <v>0</v>
      </c>
      <c r="G1691" s="97">
        <f>G1692</f>
        <v>0</v>
      </c>
      <c r="H1691" s="258" t="e">
        <f t="shared" si="187"/>
        <v>#DIV/0!</v>
      </c>
      <c r="I1691" s="228"/>
      <c r="J1691" s="228"/>
      <c r="K1691" s="228"/>
      <c r="L1691"/>
      <c r="M1691"/>
    </row>
    <row r="1692" spans="1:13" s="116" customFormat="1" hidden="1" x14ac:dyDescent="0.2">
      <c r="A1692" s="36" t="s">
        <v>50</v>
      </c>
      <c r="B1692" s="100" t="s">
        <v>802</v>
      </c>
      <c r="C1692" s="100" t="s">
        <v>434</v>
      </c>
      <c r="D1692" s="100" t="s">
        <v>889</v>
      </c>
      <c r="E1692" s="31" t="s">
        <v>277</v>
      </c>
      <c r="F1692" s="97">
        <f>50-50</f>
        <v>0</v>
      </c>
      <c r="G1692" s="97">
        <f>50-50</f>
        <v>0</v>
      </c>
      <c r="H1692" s="258" t="e">
        <f t="shared" si="187"/>
        <v>#DIV/0!</v>
      </c>
      <c r="I1692" s="228"/>
      <c r="J1692" s="228"/>
      <c r="K1692" s="228"/>
      <c r="L1692"/>
      <c r="M1692"/>
    </row>
    <row r="1693" spans="1:13" s="45" customFormat="1" x14ac:dyDescent="0.2">
      <c r="A1693" s="23" t="s">
        <v>197</v>
      </c>
      <c r="B1693" s="15" t="s">
        <v>802</v>
      </c>
      <c r="C1693" s="15" t="s">
        <v>434</v>
      </c>
      <c r="D1693" s="93" t="s">
        <v>198</v>
      </c>
      <c r="E1693" s="32"/>
      <c r="F1693" s="25">
        <f>F1694+F1702</f>
        <v>100</v>
      </c>
      <c r="G1693" s="25">
        <f>G1694+G1702</f>
        <v>100</v>
      </c>
      <c r="H1693" s="258">
        <f t="shared" si="187"/>
        <v>1</v>
      </c>
      <c r="I1693" s="228"/>
      <c r="J1693" s="228"/>
      <c r="K1693" s="228"/>
      <c r="L1693"/>
      <c r="M1693"/>
    </row>
    <row r="1694" spans="1:13" s="72" customFormat="1" ht="31.5" x14ac:dyDescent="0.2">
      <c r="A1694" s="171" t="s">
        <v>445</v>
      </c>
      <c r="B1694" s="68" t="s">
        <v>802</v>
      </c>
      <c r="C1694" s="68" t="s">
        <v>434</v>
      </c>
      <c r="D1694" s="68" t="s">
        <v>446</v>
      </c>
      <c r="E1694" s="128"/>
      <c r="F1694" s="129">
        <f>F1695+F1697</f>
        <v>100</v>
      </c>
      <c r="G1694" s="129">
        <f>G1695+G1697</f>
        <v>100</v>
      </c>
      <c r="H1694" s="258">
        <f t="shared" si="187"/>
        <v>1</v>
      </c>
      <c r="I1694" s="228"/>
      <c r="J1694" s="228"/>
      <c r="K1694" s="228"/>
      <c r="L1694"/>
      <c r="M1694"/>
    </row>
    <row r="1695" spans="1:13" s="60" customFormat="1" x14ac:dyDescent="0.2">
      <c r="A1695" s="36" t="s">
        <v>821</v>
      </c>
      <c r="B1695" s="58" t="s">
        <v>802</v>
      </c>
      <c r="C1695" s="58" t="s">
        <v>434</v>
      </c>
      <c r="D1695" s="58" t="s">
        <v>446</v>
      </c>
      <c r="E1695" s="58" t="s">
        <v>137</v>
      </c>
      <c r="F1695" s="49">
        <f>F1696</f>
        <v>100</v>
      </c>
      <c r="G1695" s="49">
        <f>G1696</f>
        <v>100</v>
      </c>
      <c r="H1695" s="258">
        <f t="shared" si="187"/>
        <v>1</v>
      </c>
      <c r="I1695" s="228"/>
      <c r="J1695" s="228"/>
      <c r="K1695" s="228"/>
      <c r="L1695"/>
      <c r="M1695"/>
    </row>
    <row r="1696" spans="1:13" s="60" customFormat="1" x14ac:dyDescent="0.2">
      <c r="A1696" s="36" t="s">
        <v>825</v>
      </c>
      <c r="B1696" s="58" t="s">
        <v>802</v>
      </c>
      <c r="C1696" s="58" t="s">
        <v>434</v>
      </c>
      <c r="D1696" s="58" t="s">
        <v>446</v>
      </c>
      <c r="E1696" s="58" t="s">
        <v>826</v>
      </c>
      <c r="F1696" s="49">
        <v>100</v>
      </c>
      <c r="G1696" s="49">
        <v>100</v>
      </c>
      <c r="H1696" s="258">
        <f t="shared" si="187"/>
        <v>1</v>
      </c>
      <c r="I1696" s="228"/>
      <c r="J1696" s="228"/>
      <c r="K1696" s="228"/>
      <c r="L1696"/>
      <c r="M1696"/>
    </row>
    <row r="1697" spans="1:13" s="44" customFormat="1" hidden="1" x14ac:dyDescent="0.2">
      <c r="A1697" s="36" t="s">
        <v>29</v>
      </c>
      <c r="B1697" s="58" t="s">
        <v>802</v>
      </c>
      <c r="C1697" s="58" t="s">
        <v>434</v>
      </c>
      <c r="D1697" s="58" t="s">
        <v>446</v>
      </c>
      <c r="E1697" s="58" t="s">
        <v>130</v>
      </c>
      <c r="F1697" s="49">
        <f>F1698</f>
        <v>0</v>
      </c>
      <c r="G1697" s="49">
        <f>G1698</f>
        <v>0</v>
      </c>
      <c r="H1697" s="258" t="e">
        <f t="shared" si="187"/>
        <v>#DIV/0!</v>
      </c>
      <c r="I1697" s="228"/>
      <c r="J1697" s="228"/>
      <c r="K1697" s="228"/>
      <c r="L1697"/>
      <c r="M1697"/>
    </row>
    <row r="1698" spans="1:13" s="44" customFormat="1" hidden="1" x14ac:dyDescent="0.2">
      <c r="A1698" s="36" t="s">
        <v>50</v>
      </c>
      <c r="B1698" s="58" t="s">
        <v>802</v>
      </c>
      <c r="C1698" s="58" t="s">
        <v>434</v>
      </c>
      <c r="D1698" s="58" t="s">
        <v>446</v>
      </c>
      <c r="E1698" s="58" t="s">
        <v>277</v>
      </c>
      <c r="F1698" s="49">
        <f>234.9-234.9</f>
        <v>0</v>
      </c>
      <c r="G1698" s="49">
        <f>234.9-234.9</f>
        <v>0</v>
      </c>
      <c r="H1698" s="258" t="e">
        <f t="shared" si="187"/>
        <v>#DIV/0!</v>
      </c>
      <c r="I1698" s="228"/>
      <c r="J1698" s="228"/>
      <c r="K1698" s="228"/>
      <c r="L1698"/>
      <c r="M1698"/>
    </row>
    <row r="1699" spans="1:13" s="45" customFormat="1" ht="34.15" hidden="1" customHeight="1" x14ac:dyDescent="0.2">
      <c r="A1699" s="103" t="s">
        <v>892</v>
      </c>
      <c r="B1699" s="199" t="s">
        <v>802</v>
      </c>
      <c r="C1699" s="199" t="s">
        <v>434</v>
      </c>
      <c r="D1699" s="199" t="s">
        <v>893</v>
      </c>
      <c r="E1699" s="209"/>
      <c r="F1699" s="49">
        <f>F1700</f>
        <v>0</v>
      </c>
      <c r="G1699" s="49">
        <f>G1700</f>
        <v>0</v>
      </c>
      <c r="H1699" s="258" t="e">
        <f t="shared" si="187"/>
        <v>#DIV/0!</v>
      </c>
      <c r="I1699" s="228"/>
      <c r="J1699" s="228"/>
      <c r="K1699" s="228"/>
      <c r="L1699"/>
      <c r="M1699"/>
    </row>
    <row r="1700" spans="1:13" s="45" customFormat="1" hidden="1" x14ac:dyDescent="0.2">
      <c r="A1700" s="63" t="s">
        <v>821</v>
      </c>
      <c r="B1700" s="58" t="s">
        <v>802</v>
      </c>
      <c r="C1700" s="58" t="s">
        <v>434</v>
      </c>
      <c r="D1700" s="58" t="s">
        <v>893</v>
      </c>
      <c r="E1700" s="58" t="s">
        <v>137</v>
      </c>
      <c r="F1700" s="49">
        <f>F1701</f>
        <v>0</v>
      </c>
      <c r="G1700" s="49">
        <f>G1701</f>
        <v>0</v>
      </c>
      <c r="H1700" s="258" t="e">
        <f t="shared" si="187"/>
        <v>#DIV/0!</v>
      </c>
      <c r="I1700" s="228"/>
      <c r="J1700" s="228"/>
      <c r="K1700" s="228"/>
      <c r="L1700"/>
      <c r="M1700"/>
    </row>
    <row r="1701" spans="1:13" s="45" customFormat="1" hidden="1" x14ac:dyDescent="0.2">
      <c r="A1701" s="63" t="s">
        <v>825</v>
      </c>
      <c r="B1701" s="58" t="s">
        <v>802</v>
      </c>
      <c r="C1701" s="58" t="s">
        <v>434</v>
      </c>
      <c r="D1701" s="58" t="s">
        <v>893</v>
      </c>
      <c r="E1701" s="58" t="s">
        <v>826</v>
      </c>
      <c r="F1701" s="49"/>
      <c r="G1701" s="49"/>
      <c r="H1701" s="258" t="e">
        <f t="shared" si="187"/>
        <v>#DIV/0!</v>
      </c>
      <c r="I1701" s="228"/>
      <c r="J1701" s="228"/>
      <c r="K1701" s="228"/>
      <c r="L1701"/>
      <c r="M1701"/>
    </row>
    <row r="1702" spans="1:13" s="116" customFormat="1" ht="47.25" hidden="1" x14ac:dyDescent="0.2">
      <c r="A1702" s="115" t="s">
        <v>890</v>
      </c>
      <c r="B1702" s="100" t="s">
        <v>802</v>
      </c>
      <c r="C1702" s="100" t="s">
        <v>434</v>
      </c>
      <c r="D1702" s="184" t="s">
        <v>894</v>
      </c>
      <c r="E1702" s="100"/>
      <c r="F1702" s="110"/>
      <c r="G1702" s="110"/>
      <c r="H1702" s="258" t="e">
        <f t="shared" si="187"/>
        <v>#DIV/0!</v>
      </c>
      <c r="I1702" s="228"/>
      <c r="J1702" s="228"/>
      <c r="K1702" s="228"/>
      <c r="L1702"/>
      <c r="M1702"/>
    </row>
    <row r="1703" spans="1:13" s="72" customFormat="1" hidden="1" x14ac:dyDescent="0.2">
      <c r="A1703" s="23" t="s">
        <v>839</v>
      </c>
      <c r="B1703" s="15" t="s">
        <v>802</v>
      </c>
      <c r="C1703" s="15" t="s">
        <v>434</v>
      </c>
      <c r="D1703" s="15" t="s">
        <v>840</v>
      </c>
      <c r="E1703" s="31"/>
      <c r="F1703" s="95">
        <f t="shared" ref="F1703:G1706" si="193">F1704</f>
        <v>0</v>
      </c>
      <c r="G1703" s="95">
        <f t="shared" si="193"/>
        <v>0</v>
      </c>
      <c r="H1703" s="258" t="e">
        <f t="shared" si="187"/>
        <v>#DIV/0!</v>
      </c>
      <c r="I1703" s="228"/>
      <c r="J1703" s="228"/>
      <c r="K1703" s="228"/>
      <c r="L1703"/>
      <c r="M1703"/>
    </row>
    <row r="1704" spans="1:13" s="72" customFormat="1" ht="47.25" hidden="1" x14ac:dyDescent="0.2">
      <c r="A1704" s="30" t="s">
        <v>841</v>
      </c>
      <c r="B1704" s="31" t="s">
        <v>802</v>
      </c>
      <c r="C1704" s="31" t="s">
        <v>434</v>
      </c>
      <c r="D1704" s="31" t="s">
        <v>842</v>
      </c>
      <c r="E1704" s="31"/>
      <c r="F1704" s="97">
        <f t="shared" si="193"/>
        <v>0</v>
      </c>
      <c r="G1704" s="97">
        <f t="shared" si="193"/>
        <v>0</v>
      </c>
      <c r="H1704" s="258" t="e">
        <f t="shared" si="187"/>
        <v>#DIV/0!</v>
      </c>
      <c r="I1704" s="228"/>
      <c r="J1704" s="228"/>
      <c r="K1704" s="228"/>
      <c r="L1704"/>
      <c r="M1704"/>
    </row>
    <row r="1705" spans="1:13" s="72" customFormat="1" ht="47.25" hidden="1" x14ac:dyDescent="0.2">
      <c r="A1705" s="30" t="s">
        <v>895</v>
      </c>
      <c r="B1705" s="31" t="s">
        <v>802</v>
      </c>
      <c r="C1705" s="31" t="s">
        <v>434</v>
      </c>
      <c r="D1705" s="31" t="s">
        <v>868</v>
      </c>
      <c r="E1705" s="31"/>
      <c r="F1705" s="97">
        <f t="shared" si="193"/>
        <v>0</v>
      </c>
      <c r="G1705" s="97">
        <f t="shared" si="193"/>
        <v>0</v>
      </c>
      <c r="H1705" s="258" t="e">
        <f t="shared" ref="H1705:H1768" si="194">G1705/F1705</f>
        <v>#DIV/0!</v>
      </c>
      <c r="I1705" s="228"/>
      <c r="J1705" s="228"/>
      <c r="K1705" s="228"/>
      <c r="L1705"/>
      <c r="M1705"/>
    </row>
    <row r="1706" spans="1:13" s="60" customFormat="1" hidden="1" x14ac:dyDescent="0.2">
      <c r="A1706" s="36" t="s">
        <v>821</v>
      </c>
      <c r="B1706" s="31" t="s">
        <v>802</v>
      </c>
      <c r="C1706" s="31" t="s">
        <v>434</v>
      </c>
      <c r="D1706" s="31" t="s">
        <v>868</v>
      </c>
      <c r="E1706" s="31" t="s">
        <v>137</v>
      </c>
      <c r="F1706" s="97">
        <f t="shared" si="193"/>
        <v>0</v>
      </c>
      <c r="G1706" s="97">
        <f t="shared" si="193"/>
        <v>0</v>
      </c>
      <c r="H1706" s="258" t="e">
        <f t="shared" si="194"/>
        <v>#DIV/0!</v>
      </c>
      <c r="I1706" s="228"/>
      <c r="J1706" s="228"/>
      <c r="K1706" s="228"/>
      <c r="L1706"/>
      <c r="M1706"/>
    </row>
    <row r="1707" spans="1:13" s="72" customFormat="1" ht="18" hidden="1" customHeight="1" x14ac:dyDescent="0.2">
      <c r="A1707" s="36" t="s">
        <v>825</v>
      </c>
      <c r="B1707" s="31" t="s">
        <v>802</v>
      </c>
      <c r="C1707" s="31" t="s">
        <v>434</v>
      </c>
      <c r="D1707" s="31" t="s">
        <v>868</v>
      </c>
      <c r="E1707" s="31" t="s">
        <v>826</v>
      </c>
      <c r="F1707" s="97"/>
      <c r="G1707" s="97"/>
      <c r="H1707" s="258" t="e">
        <f t="shared" si="194"/>
        <v>#DIV/0!</v>
      </c>
      <c r="I1707" s="228"/>
      <c r="J1707" s="228"/>
      <c r="K1707" s="228"/>
      <c r="L1707"/>
      <c r="M1707"/>
    </row>
    <row r="1708" spans="1:13" s="45" customFormat="1" hidden="1" x14ac:dyDescent="0.2">
      <c r="A1708" s="90" t="s">
        <v>120</v>
      </c>
      <c r="B1708" s="15" t="s">
        <v>802</v>
      </c>
      <c r="C1708" s="15" t="s">
        <v>434</v>
      </c>
      <c r="D1708" s="15" t="s">
        <v>121</v>
      </c>
      <c r="E1708" s="24"/>
      <c r="F1708" s="80">
        <f t="shared" ref="F1708:G1710" si="195">F1709</f>
        <v>0</v>
      </c>
      <c r="G1708" s="80">
        <f t="shared" si="195"/>
        <v>0</v>
      </c>
      <c r="H1708" s="258" t="e">
        <f t="shared" si="194"/>
        <v>#DIV/0!</v>
      </c>
      <c r="I1708" s="228"/>
      <c r="J1708" s="228"/>
      <c r="K1708" s="228"/>
      <c r="L1708"/>
      <c r="M1708"/>
    </row>
    <row r="1709" spans="1:13" s="45" customFormat="1" ht="15.75" hidden="1" customHeight="1" x14ac:dyDescent="0.2">
      <c r="A1709" s="43" t="s">
        <v>531</v>
      </c>
      <c r="B1709" s="31" t="s">
        <v>802</v>
      </c>
      <c r="C1709" s="31" t="s">
        <v>434</v>
      </c>
      <c r="D1709" s="31" t="s">
        <v>379</v>
      </c>
      <c r="E1709" s="32"/>
      <c r="F1709" s="83">
        <f t="shared" si="195"/>
        <v>0</v>
      </c>
      <c r="G1709" s="83">
        <f t="shared" si="195"/>
        <v>0</v>
      </c>
      <c r="H1709" s="258" t="e">
        <f t="shared" si="194"/>
        <v>#DIV/0!</v>
      </c>
      <c r="I1709" s="228"/>
      <c r="J1709" s="228"/>
      <c r="K1709" s="228"/>
      <c r="L1709"/>
      <c r="M1709"/>
    </row>
    <row r="1710" spans="1:13" s="5" customFormat="1" hidden="1" x14ac:dyDescent="0.2">
      <c r="A1710" s="36" t="s">
        <v>821</v>
      </c>
      <c r="B1710" s="31" t="s">
        <v>802</v>
      </c>
      <c r="C1710" s="31" t="s">
        <v>434</v>
      </c>
      <c r="D1710" s="31" t="s">
        <v>379</v>
      </c>
      <c r="E1710" s="32">
        <v>500</v>
      </c>
      <c r="F1710" s="83">
        <f t="shared" si="195"/>
        <v>0</v>
      </c>
      <c r="G1710" s="83">
        <f t="shared" si="195"/>
        <v>0</v>
      </c>
      <c r="H1710" s="258" t="e">
        <f t="shared" si="194"/>
        <v>#DIV/0!</v>
      </c>
      <c r="I1710" s="228"/>
      <c r="J1710" s="228"/>
      <c r="K1710" s="228"/>
      <c r="L1710"/>
      <c r="M1710"/>
    </row>
    <row r="1711" spans="1:13" s="5" customFormat="1" hidden="1" x14ac:dyDescent="0.2">
      <c r="A1711" s="36" t="s">
        <v>825</v>
      </c>
      <c r="B1711" s="31" t="s">
        <v>896</v>
      </c>
      <c r="C1711" s="31" t="s">
        <v>434</v>
      </c>
      <c r="D1711" s="31" t="s">
        <v>379</v>
      </c>
      <c r="E1711" s="32">
        <v>540</v>
      </c>
      <c r="F1711" s="83"/>
      <c r="G1711" s="83"/>
      <c r="H1711" s="258" t="e">
        <f t="shared" si="194"/>
        <v>#DIV/0!</v>
      </c>
      <c r="I1711" s="228"/>
      <c r="J1711" s="228"/>
      <c r="K1711" s="228"/>
      <c r="L1711"/>
      <c r="M1711"/>
    </row>
    <row r="1712" spans="1:13" s="5" customFormat="1" x14ac:dyDescent="0.2">
      <c r="A1712" s="23" t="s">
        <v>465</v>
      </c>
      <c r="B1712" s="15" t="s">
        <v>802</v>
      </c>
      <c r="C1712" s="15" t="s">
        <v>466</v>
      </c>
      <c r="D1712" s="15"/>
      <c r="E1712" s="15"/>
      <c r="F1712" s="147">
        <f>F1713+F1718</f>
        <v>37.799999999999997</v>
      </c>
      <c r="G1712" s="147">
        <f>G1713+G1718</f>
        <v>0</v>
      </c>
      <c r="H1712" s="258">
        <f t="shared" si="194"/>
        <v>0</v>
      </c>
      <c r="I1712" s="228"/>
      <c r="J1712" s="228"/>
      <c r="K1712" s="228"/>
      <c r="L1712"/>
      <c r="M1712"/>
    </row>
    <row r="1713" spans="1:13" s="28" customFormat="1" x14ac:dyDescent="0.2">
      <c r="A1713" s="33" t="s">
        <v>467</v>
      </c>
      <c r="B1713" s="34" t="s">
        <v>802</v>
      </c>
      <c r="C1713" s="34" t="s">
        <v>468</v>
      </c>
      <c r="D1713" s="34"/>
      <c r="E1713" s="34"/>
      <c r="F1713" s="78">
        <f t="shared" ref="F1713:G1716" si="196">F1714</f>
        <v>37.799999999999997</v>
      </c>
      <c r="G1713" s="78">
        <f t="shared" si="196"/>
        <v>0</v>
      </c>
      <c r="H1713" s="258">
        <f t="shared" si="194"/>
        <v>0</v>
      </c>
      <c r="I1713" s="228"/>
      <c r="J1713" s="228"/>
      <c r="K1713" s="228"/>
      <c r="L1713"/>
      <c r="M1713"/>
    </row>
    <row r="1714" spans="1:13" s="28" customFormat="1" x14ac:dyDescent="0.2">
      <c r="A1714" s="216" t="s">
        <v>645</v>
      </c>
      <c r="B1714" s="15" t="s">
        <v>802</v>
      </c>
      <c r="C1714" s="15" t="s">
        <v>468</v>
      </c>
      <c r="D1714" s="24" t="s">
        <v>646</v>
      </c>
      <c r="E1714" s="31"/>
      <c r="F1714" s="80">
        <f t="shared" si="196"/>
        <v>37.799999999999997</v>
      </c>
      <c r="G1714" s="80">
        <f t="shared" si="196"/>
        <v>0</v>
      </c>
      <c r="H1714" s="258">
        <f t="shared" si="194"/>
        <v>0</v>
      </c>
      <c r="I1714" s="228"/>
      <c r="J1714" s="228"/>
      <c r="K1714" s="228"/>
      <c r="L1714"/>
      <c r="M1714"/>
    </row>
    <row r="1715" spans="1:13" s="5" customFormat="1" ht="17.45" customHeight="1" x14ac:dyDescent="0.2">
      <c r="A1715" s="223" t="s">
        <v>138</v>
      </c>
      <c r="B1715" s="31" t="s">
        <v>802</v>
      </c>
      <c r="C1715" s="31" t="s">
        <v>468</v>
      </c>
      <c r="D1715" s="32" t="s">
        <v>647</v>
      </c>
      <c r="E1715" s="31"/>
      <c r="F1715" s="83">
        <f t="shared" si="196"/>
        <v>37.799999999999997</v>
      </c>
      <c r="G1715" s="83">
        <f t="shared" si="196"/>
        <v>0</v>
      </c>
      <c r="H1715" s="258">
        <f t="shared" si="194"/>
        <v>0</v>
      </c>
      <c r="I1715" s="228"/>
      <c r="J1715" s="228"/>
      <c r="K1715" s="228"/>
      <c r="L1715"/>
      <c r="M1715"/>
    </row>
    <row r="1716" spans="1:13" s="5" customFormat="1" x14ac:dyDescent="0.2">
      <c r="A1716" s="81" t="s">
        <v>29</v>
      </c>
      <c r="B1716" s="31" t="s">
        <v>802</v>
      </c>
      <c r="C1716" s="31" t="s">
        <v>468</v>
      </c>
      <c r="D1716" s="32" t="s">
        <v>647</v>
      </c>
      <c r="E1716" s="31" t="s">
        <v>130</v>
      </c>
      <c r="F1716" s="83">
        <f t="shared" si="196"/>
        <v>37.799999999999997</v>
      </c>
      <c r="G1716" s="83">
        <f t="shared" si="196"/>
        <v>0</v>
      </c>
      <c r="H1716" s="258">
        <f t="shared" si="194"/>
        <v>0</v>
      </c>
      <c r="I1716" s="228"/>
      <c r="J1716" s="228"/>
      <c r="K1716" s="228"/>
      <c r="L1716"/>
      <c r="M1716"/>
    </row>
    <row r="1717" spans="1:13" s="5" customFormat="1" x14ac:dyDescent="0.2">
      <c r="A1717" s="81" t="s">
        <v>50</v>
      </c>
      <c r="B1717" s="31" t="s">
        <v>802</v>
      </c>
      <c r="C1717" s="31" t="s">
        <v>468</v>
      </c>
      <c r="D1717" s="32" t="s">
        <v>647</v>
      </c>
      <c r="E1717" s="31" t="s">
        <v>277</v>
      </c>
      <c r="F1717" s="83">
        <v>37.799999999999997</v>
      </c>
      <c r="G1717" s="83">
        <v>0</v>
      </c>
      <c r="H1717" s="258">
        <f t="shared" si="194"/>
        <v>0</v>
      </c>
      <c r="I1717" s="228"/>
      <c r="J1717" s="228"/>
      <c r="K1717" s="228"/>
      <c r="L1717"/>
      <c r="M1717"/>
    </row>
    <row r="1718" spans="1:13" s="5" customFormat="1" hidden="1" x14ac:dyDescent="0.2">
      <c r="A1718" s="33" t="s">
        <v>649</v>
      </c>
      <c r="B1718" s="34" t="s">
        <v>802</v>
      </c>
      <c r="C1718" s="34" t="s">
        <v>650</v>
      </c>
      <c r="D1718" s="34"/>
      <c r="E1718" s="34"/>
      <c r="F1718" s="78">
        <f t="shared" ref="F1718:G1721" si="197">F1719</f>
        <v>0</v>
      </c>
      <c r="G1718" s="78">
        <f t="shared" si="197"/>
        <v>0</v>
      </c>
      <c r="H1718" s="258" t="e">
        <f t="shared" si="194"/>
        <v>#DIV/0!</v>
      </c>
      <c r="I1718" s="228"/>
      <c r="J1718" s="228"/>
      <c r="K1718" s="228"/>
      <c r="L1718"/>
      <c r="M1718"/>
    </row>
    <row r="1719" spans="1:13" s="28" customFormat="1" ht="31.5" hidden="1" x14ac:dyDescent="0.2">
      <c r="A1719" s="23" t="s">
        <v>897</v>
      </c>
      <c r="B1719" s="15" t="s">
        <v>802</v>
      </c>
      <c r="C1719" s="15" t="s">
        <v>650</v>
      </c>
      <c r="D1719" s="24" t="s">
        <v>898</v>
      </c>
      <c r="E1719" s="24"/>
      <c r="F1719" s="151">
        <f t="shared" si="197"/>
        <v>0</v>
      </c>
      <c r="G1719" s="151">
        <f t="shared" si="197"/>
        <v>0</v>
      </c>
      <c r="H1719" s="258" t="e">
        <f t="shared" si="194"/>
        <v>#DIV/0!</v>
      </c>
      <c r="I1719" s="228"/>
      <c r="J1719" s="228"/>
      <c r="K1719" s="228"/>
      <c r="L1719"/>
      <c r="M1719"/>
    </row>
    <row r="1720" spans="1:13" s="91" customFormat="1" ht="21.6" hidden="1" customHeight="1" x14ac:dyDescent="0.2">
      <c r="A1720" s="30" t="s">
        <v>138</v>
      </c>
      <c r="B1720" s="31" t="s">
        <v>802</v>
      </c>
      <c r="C1720" s="31" t="s">
        <v>650</v>
      </c>
      <c r="D1720" s="32" t="s">
        <v>899</v>
      </c>
      <c r="E1720" s="24"/>
      <c r="F1720" s="88">
        <f t="shared" si="197"/>
        <v>0</v>
      </c>
      <c r="G1720" s="88">
        <f t="shared" si="197"/>
        <v>0</v>
      </c>
      <c r="H1720" s="258" t="e">
        <f t="shared" si="194"/>
        <v>#DIV/0!</v>
      </c>
      <c r="I1720" s="228"/>
      <c r="J1720" s="228"/>
      <c r="K1720" s="228"/>
      <c r="L1720"/>
      <c r="M1720"/>
    </row>
    <row r="1721" spans="1:13" s="56" customFormat="1" hidden="1" x14ac:dyDescent="0.2">
      <c r="A1721" s="36" t="s">
        <v>29</v>
      </c>
      <c r="B1721" s="31" t="s">
        <v>802</v>
      </c>
      <c r="C1721" s="31" t="s">
        <v>650</v>
      </c>
      <c r="D1721" s="32" t="s">
        <v>899</v>
      </c>
      <c r="E1721" s="32">
        <v>800</v>
      </c>
      <c r="F1721" s="88">
        <f t="shared" si="197"/>
        <v>0</v>
      </c>
      <c r="G1721" s="88">
        <f t="shared" si="197"/>
        <v>0</v>
      </c>
      <c r="H1721" s="258" t="e">
        <f t="shared" si="194"/>
        <v>#DIV/0!</v>
      </c>
      <c r="I1721" s="228"/>
      <c r="J1721" s="228"/>
      <c r="K1721" s="228"/>
      <c r="L1721"/>
      <c r="M1721"/>
    </row>
    <row r="1722" spans="1:13" s="56" customFormat="1" hidden="1" x14ac:dyDescent="0.2">
      <c r="A1722" s="36" t="s">
        <v>50</v>
      </c>
      <c r="B1722" s="31" t="s">
        <v>802</v>
      </c>
      <c r="C1722" s="31" t="s">
        <v>650</v>
      </c>
      <c r="D1722" s="32" t="s">
        <v>899</v>
      </c>
      <c r="E1722" s="32">
        <v>870</v>
      </c>
      <c r="F1722" s="88"/>
      <c r="G1722" s="88"/>
      <c r="H1722" s="258" t="e">
        <f t="shared" si="194"/>
        <v>#DIV/0!</v>
      </c>
      <c r="I1722" s="228"/>
      <c r="J1722" s="228"/>
      <c r="K1722" s="228"/>
      <c r="L1722"/>
      <c r="M1722"/>
    </row>
    <row r="1723" spans="1:13" s="5" customFormat="1" x14ac:dyDescent="0.2">
      <c r="A1723" s="23" t="s">
        <v>534</v>
      </c>
      <c r="B1723" s="15" t="s">
        <v>802</v>
      </c>
      <c r="C1723" s="15" t="s">
        <v>535</v>
      </c>
      <c r="D1723" s="34"/>
      <c r="E1723" s="34"/>
      <c r="F1723" s="136">
        <f>F1724+F1735</f>
        <v>5452.3</v>
      </c>
      <c r="G1723" s="136">
        <f>G1724+G1735</f>
        <v>4560.3</v>
      </c>
      <c r="H1723" s="258">
        <f t="shared" si="194"/>
        <v>0.83639931771912768</v>
      </c>
      <c r="I1723" s="228"/>
      <c r="J1723" s="228"/>
      <c r="K1723" s="228"/>
      <c r="L1723"/>
      <c r="M1723"/>
    </row>
    <row r="1724" spans="1:13" s="5" customFormat="1" x14ac:dyDescent="0.2">
      <c r="A1724" s="23" t="s">
        <v>536</v>
      </c>
      <c r="B1724" s="15" t="s">
        <v>802</v>
      </c>
      <c r="C1724" s="15" t="s">
        <v>537</v>
      </c>
      <c r="D1724" s="34"/>
      <c r="E1724" s="34"/>
      <c r="F1724" s="136">
        <f t="shared" ref="F1724:G1727" si="198">F1725</f>
        <v>100</v>
      </c>
      <c r="G1724" s="136">
        <f t="shared" si="198"/>
        <v>99</v>
      </c>
      <c r="H1724" s="258">
        <f t="shared" si="194"/>
        <v>0.99</v>
      </c>
      <c r="I1724" s="228"/>
      <c r="J1724" s="228"/>
      <c r="K1724" s="228"/>
      <c r="L1724"/>
      <c r="M1724"/>
    </row>
    <row r="1725" spans="1:13" s="5" customFormat="1" ht="31.5" x14ac:dyDescent="0.2">
      <c r="A1725" s="14" t="s">
        <v>80</v>
      </c>
      <c r="B1725" s="15" t="s">
        <v>802</v>
      </c>
      <c r="C1725" s="15" t="s">
        <v>537</v>
      </c>
      <c r="D1725" s="24" t="s">
        <v>81</v>
      </c>
      <c r="E1725" s="15"/>
      <c r="F1725" s="16">
        <f t="shared" si="198"/>
        <v>100</v>
      </c>
      <c r="G1725" s="16">
        <f t="shared" si="198"/>
        <v>99</v>
      </c>
      <c r="H1725" s="258">
        <f t="shared" si="194"/>
        <v>0.99</v>
      </c>
      <c r="I1725" s="228"/>
      <c r="J1725" s="228"/>
      <c r="K1725" s="228"/>
      <c r="L1725"/>
      <c r="M1725"/>
    </row>
    <row r="1726" spans="1:13" s="5" customFormat="1" ht="31.5" x14ac:dyDescent="0.2">
      <c r="A1726" s="63" t="s">
        <v>82</v>
      </c>
      <c r="B1726" s="58" t="s">
        <v>802</v>
      </c>
      <c r="C1726" s="58" t="s">
        <v>537</v>
      </c>
      <c r="D1726" s="59" t="s">
        <v>83</v>
      </c>
      <c r="E1726" s="58" t="s">
        <v>4</v>
      </c>
      <c r="F1726" s="51">
        <f t="shared" si="198"/>
        <v>100</v>
      </c>
      <c r="G1726" s="51">
        <f t="shared" si="198"/>
        <v>99</v>
      </c>
      <c r="H1726" s="258">
        <f t="shared" si="194"/>
        <v>0.99</v>
      </c>
      <c r="I1726" s="228"/>
      <c r="J1726" s="228"/>
      <c r="K1726" s="228"/>
      <c r="L1726"/>
      <c r="M1726"/>
    </row>
    <row r="1727" spans="1:13" s="5" customFormat="1" ht="48" customHeight="1" x14ac:dyDescent="0.2">
      <c r="A1727" s="63" t="s">
        <v>84</v>
      </c>
      <c r="B1727" s="58" t="s">
        <v>802</v>
      </c>
      <c r="C1727" s="58" t="s">
        <v>537</v>
      </c>
      <c r="D1727" s="59" t="s">
        <v>85</v>
      </c>
      <c r="E1727" s="58"/>
      <c r="F1727" s="51">
        <f t="shared" si="198"/>
        <v>100</v>
      </c>
      <c r="G1727" s="51">
        <f t="shared" si="198"/>
        <v>99</v>
      </c>
      <c r="H1727" s="258">
        <f t="shared" si="194"/>
        <v>0.99</v>
      </c>
      <c r="I1727" s="228"/>
      <c r="J1727" s="228"/>
      <c r="K1727" s="228"/>
      <c r="L1727"/>
      <c r="M1727"/>
    </row>
    <row r="1728" spans="1:13" s="28" customFormat="1" ht="204.75" x14ac:dyDescent="0.2">
      <c r="A1728" s="249" t="s">
        <v>900</v>
      </c>
      <c r="B1728" s="58" t="s">
        <v>802</v>
      </c>
      <c r="C1728" s="58" t="s">
        <v>537</v>
      </c>
      <c r="D1728" s="59" t="s">
        <v>901</v>
      </c>
      <c r="E1728" s="58"/>
      <c r="F1728" s="51">
        <f>F1729+F1731+F1733</f>
        <v>100</v>
      </c>
      <c r="G1728" s="51">
        <f>G1729+G1731+G1733</f>
        <v>99</v>
      </c>
      <c r="H1728" s="258">
        <f t="shared" si="194"/>
        <v>0.99</v>
      </c>
      <c r="I1728" s="228"/>
      <c r="J1728" s="228"/>
      <c r="K1728" s="228"/>
      <c r="L1728"/>
      <c r="M1728"/>
    </row>
    <row r="1729" spans="1:13" s="72" customFormat="1" x14ac:dyDescent="0.2">
      <c r="A1729" s="63" t="s">
        <v>821</v>
      </c>
      <c r="B1729" s="58" t="s">
        <v>802</v>
      </c>
      <c r="C1729" s="58" t="s">
        <v>537</v>
      </c>
      <c r="D1729" s="59" t="s">
        <v>901</v>
      </c>
      <c r="E1729" s="58" t="s">
        <v>137</v>
      </c>
      <c r="F1729" s="51">
        <f>F1730</f>
        <v>99</v>
      </c>
      <c r="G1729" s="51">
        <f>G1730</f>
        <v>99</v>
      </c>
      <c r="H1729" s="258">
        <f t="shared" si="194"/>
        <v>1</v>
      </c>
      <c r="I1729" s="55"/>
      <c r="J1729" s="55"/>
      <c r="K1729" s="55"/>
      <c r="L1729" s="217"/>
      <c r="M1729" s="217"/>
    </row>
    <row r="1730" spans="1:13" s="56" customFormat="1" x14ac:dyDescent="0.2">
      <c r="A1730" s="63" t="s">
        <v>825</v>
      </c>
      <c r="B1730" s="58" t="s">
        <v>802</v>
      </c>
      <c r="C1730" s="58" t="s">
        <v>537</v>
      </c>
      <c r="D1730" s="59" t="s">
        <v>901</v>
      </c>
      <c r="E1730" s="58" t="s">
        <v>826</v>
      </c>
      <c r="F1730" s="51">
        <v>99</v>
      </c>
      <c r="G1730" s="51">
        <v>99</v>
      </c>
      <c r="H1730" s="258">
        <f t="shared" si="194"/>
        <v>1</v>
      </c>
      <c r="I1730" s="55"/>
      <c r="J1730" s="55"/>
      <c r="K1730" s="55"/>
      <c r="L1730" s="217"/>
      <c r="M1730" s="217"/>
    </row>
    <row r="1731" spans="1:13" s="5" customFormat="1" ht="15" customHeight="1" x14ac:dyDescent="0.2">
      <c r="A1731" s="81" t="s">
        <v>29</v>
      </c>
      <c r="B1731" s="31" t="s">
        <v>802</v>
      </c>
      <c r="C1731" s="31" t="s">
        <v>537</v>
      </c>
      <c r="D1731" s="32" t="s">
        <v>901</v>
      </c>
      <c r="E1731" s="31" t="s">
        <v>130</v>
      </c>
      <c r="F1731" s="104">
        <f>F1732</f>
        <v>1</v>
      </c>
      <c r="G1731" s="104">
        <f>G1732</f>
        <v>0</v>
      </c>
      <c r="H1731" s="258">
        <f t="shared" si="194"/>
        <v>0</v>
      </c>
      <c r="I1731" s="228"/>
      <c r="J1731" s="228"/>
      <c r="K1731" s="228"/>
      <c r="L1731"/>
      <c r="M1731"/>
    </row>
    <row r="1732" spans="1:13" s="5" customFormat="1" x14ac:dyDescent="0.2">
      <c r="A1732" s="81" t="s">
        <v>50</v>
      </c>
      <c r="B1732" s="31" t="s">
        <v>802</v>
      </c>
      <c r="C1732" s="31" t="s">
        <v>537</v>
      </c>
      <c r="D1732" s="32" t="s">
        <v>901</v>
      </c>
      <c r="E1732" s="31" t="s">
        <v>277</v>
      </c>
      <c r="F1732" s="104">
        <v>1</v>
      </c>
      <c r="G1732" s="104">
        <v>0</v>
      </c>
      <c r="H1732" s="258">
        <f t="shared" si="194"/>
        <v>0</v>
      </c>
      <c r="I1732" s="228"/>
      <c r="J1732" s="228"/>
      <c r="K1732" s="228"/>
      <c r="L1732"/>
      <c r="M1732"/>
    </row>
    <row r="1733" spans="1:13" s="5" customFormat="1" ht="15.6" hidden="1" customHeight="1" x14ac:dyDescent="0.2">
      <c r="A1733" s="133" t="s">
        <v>29</v>
      </c>
      <c r="B1733" s="31" t="s">
        <v>802</v>
      </c>
      <c r="C1733" s="31" t="s">
        <v>537</v>
      </c>
      <c r="D1733" s="32" t="s">
        <v>901</v>
      </c>
      <c r="E1733" s="32">
        <v>800</v>
      </c>
      <c r="F1733" s="29">
        <f>F1734</f>
        <v>0</v>
      </c>
      <c r="G1733" s="29">
        <f>G1734</f>
        <v>0</v>
      </c>
      <c r="H1733" s="258" t="e">
        <f t="shared" si="194"/>
        <v>#DIV/0!</v>
      </c>
      <c r="I1733" s="228"/>
      <c r="J1733" s="228"/>
      <c r="K1733" s="228"/>
      <c r="L1733"/>
      <c r="M1733"/>
    </row>
    <row r="1734" spans="1:13" s="5" customFormat="1" ht="15.6" hidden="1" customHeight="1" x14ac:dyDescent="0.2">
      <c r="A1734" s="133" t="s">
        <v>50</v>
      </c>
      <c r="B1734" s="31" t="s">
        <v>802</v>
      </c>
      <c r="C1734" s="31" t="s">
        <v>537</v>
      </c>
      <c r="D1734" s="32" t="s">
        <v>901</v>
      </c>
      <c r="E1734" s="32">
        <v>870</v>
      </c>
      <c r="F1734" s="29">
        <f>500-500</f>
        <v>0</v>
      </c>
      <c r="G1734" s="29">
        <f>500-500</f>
        <v>0</v>
      </c>
      <c r="H1734" s="258" t="e">
        <f t="shared" si="194"/>
        <v>#DIV/0!</v>
      </c>
      <c r="I1734" s="228"/>
      <c r="J1734" s="228"/>
      <c r="K1734" s="228"/>
      <c r="L1734"/>
      <c r="M1734"/>
    </row>
    <row r="1735" spans="1:13" s="5" customFormat="1" ht="15.75" customHeight="1" x14ac:dyDescent="0.2">
      <c r="A1735" s="143" t="s">
        <v>556</v>
      </c>
      <c r="B1735" s="144" t="s">
        <v>802</v>
      </c>
      <c r="C1735" s="144">
        <v>1004</v>
      </c>
      <c r="D1735" s="144"/>
      <c r="E1735" s="214"/>
      <c r="F1735" s="173">
        <f>F1736+F1754</f>
        <v>5352.3</v>
      </c>
      <c r="G1735" s="173">
        <f>G1736+G1754</f>
        <v>4461.3</v>
      </c>
      <c r="H1735" s="258">
        <f t="shared" si="194"/>
        <v>0.83352951067765257</v>
      </c>
      <c r="I1735" s="228"/>
      <c r="J1735" s="228"/>
      <c r="K1735" s="228"/>
      <c r="L1735"/>
      <c r="M1735"/>
    </row>
    <row r="1736" spans="1:13" s="56" customFormat="1" ht="28.9" customHeight="1" x14ac:dyDescent="0.2">
      <c r="A1736" s="64" t="s">
        <v>80</v>
      </c>
      <c r="B1736" s="53" t="s">
        <v>802</v>
      </c>
      <c r="C1736" s="53" t="s">
        <v>557</v>
      </c>
      <c r="D1736" s="54" t="s">
        <v>81</v>
      </c>
      <c r="E1736" s="53"/>
      <c r="F1736" s="203">
        <f>F1737</f>
        <v>4494.7</v>
      </c>
      <c r="G1736" s="203">
        <f>G1737</f>
        <v>3603.7</v>
      </c>
      <c r="H1736" s="258">
        <f t="shared" si="194"/>
        <v>0.80176652501835499</v>
      </c>
      <c r="I1736" s="228"/>
      <c r="J1736" s="228"/>
      <c r="K1736" s="228"/>
      <c r="L1736"/>
      <c r="M1736"/>
    </row>
    <row r="1737" spans="1:13" s="56" customFormat="1" ht="31.5" x14ac:dyDescent="0.2">
      <c r="A1737" s="63" t="s">
        <v>82</v>
      </c>
      <c r="B1737" s="58" t="s">
        <v>802</v>
      </c>
      <c r="C1737" s="58" t="s">
        <v>557</v>
      </c>
      <c r="D1737" s="59" t="s">
        <v>83</v>
      </c>
      <c r="E1737" s="58"/>
      <c r="F1737" s="51">
        <f>F1738</f>
        <v>4494.7</v>
      </c>
      <c r="G1737" s="51">
        <f>G1738</f>
        <v>3603.7</v>
      </c>
      <c r="H1737" s="258">
        <f t="shared" si="194"/>
        <v>0.80176652501835499</v>
      </c>
      <c r="I1737" s="228"/>
      <c r="J1737" s="228"/>
      <c r="K1737" s="228"/>
      <c r="L1737"/>
      <c r="M1737"/>
    </row>
    <row r="1738" spans="1:13" s="56" customFormat="1" ht="63" x14ac:dyDescent="0.2">
      <c r="A1738" s="67" t="s">
        <v>88</v>
      </c>
      <c r="B1738" s="68" t="s">
        <v>802</v>
      </c>
      <c r="C1738" s="68" t="s">
        <v>557</v>
      </c>
      <c r="D1738" s="59" t="s">
        <v>89</v>
      </c>
      <c r="E1738" s="68"/>
      <c r="F1738" s="131">
        <f>F1739+F1744</f>
        <v>4494.7</v>
      </c>
      <c r="G1738" s="131">
        <f>G1739+G1744</f>
        <v>3603.7</v>
      </c>
      <c r="H1738" s="258">
        <f t="shared" si="194"/>
        <v>0.80176652501835499</v>
      </c>
      <c r="I1738" s="228"/>
      <c r="J1738" s="228"/>
      <c r="K1738" s="228"/>
      <c r="L1738"/>
      <c r="M1738"/>
    </row>
    <row r="1739" spans="1:13" s="56" customFormat="1" ht="50.45" customHeight="1" x14ac:dyDescent="0.2">
      <c r="A1739" s="63" t="s">
        <v>90</v>
      </c>
      <c r="B1739" s="58" t="s">
        <v>802</v>
      </c>
      <c r="C1739" s="58" t="s">
        <v>557</v>
      </c>
      <c r="D1739" s="58" t="s">
        <v>91</v>
      </c>
      <c r="E1739" s="58"/>
      <c r="F1739" s="51">
        <f>F1740+F1742</f>
        <v>3242.4</v>
      </c>
      <c r="G1739" s="51">
        <f>G1740+G1742</f>
        <v>2472.6999999999998</v>
      </c>
      <c r="H1739" s="258">
        <f t="shared" si="194"/>
        <v>0.76261411300271398</v>
      </c>
      <c r="I1739" s="228"/>
      <c r="J1739" s="228"/>
      <c r="K1739" s="228"/>
      <c r="L1739"/>
      <c r="M1739"/>
    </row>
    <row r="1740" spans="1:13" s="56" customFormat="1" x14ac:dyDescent="0.2">
      <c r="A1740" s="36" t="s">
        <v>821</v>
      </c>
      <c r="B1740" s="58" t="s">
        <v>802</v>
      </c>
      <c r="C1740" s="58" t="s">
        <v>557</v>
      </c>
      <c r="D1740" s="58" t="s">
        <v>91</v>
      </c>
      <c r="E1740" s="58" t="s">
        <v>137</v>
      </c>
      <c r="F1740" s="51">
        <f>F1741</f>
        <v>3242.3</v>
      </c>
      <c r="G1740" s="51">
        <f>G1741</f>
        <v>2472.6999999999998</v>
      </c>
      <c r="H1740" s="258">
        <f t="shared" si="194"/>
        <v>0.76263763377849048</v>
      </c>
      <c r="I1740" s="228"/>
      <c r="J1740" s="228"/>
      <c r="K1740" s="228"/>
      <c r="L1740"/>
      <c r="M1740"/>
    </row>
    <row r="1741" spans="1:13" s="56" customFormat="1" x14ac:dyDescent="0.2">
      <c r="A1741" s="36" t="s">
        <v>822</v>
      </c>
      <c r="B1741" s="58" t="s">
        <v>802</v>
      </c>
      <c r="C1741" s="58" t="s">
        <v>557</v>
      </c>
      <c r="D1741" s="58" t="s">
        <v>91</v>
      </c>
      <c r="E1741" s="58" t="s">
        <v>823</v>
      </c>
      <c r="F1741" s="51">
        <v>3242.3</v>
      </c>
      <c r="G1741" s="51">
        <v>2472.6999999999998</v>
      </c>
      <c r="H1741" s="258">
        <f t="shared" si="194"/>
        <v>0.76263763377849048</v>
      </c>
      <c r="I1741" s="228"/>
      <c r="J1741" s="228"/>
      <c r="K1741" s="228"/>
      <c r="L1741"/>
      <c r="M1741"/>
    </row>
    <row r="1742" spans="1:13" s="56" customFormat="1" x14ac:dyDescent="0.2">
      <c r="A1742" s="155" t="s">
        <v>29</v>
      </c>
      <c r="B1742" s="58" t="s">
        <v>802</v>
      </c>
      <c r="C1742" s="58" t="s">
        <v>557</v>
      </c>
      <c r="D1742" s="58" t="s">
        <v>91</v>
      </c>
      <c r="E1742" s="58" t="s">
        <v>130</v>
      </c>
      <c r="F1742" s="51">
        <f>F1743</f>
        <v>0.1</v>
      </c>
      <c r="G1742" s="51">
        <v>0</v>
      </c>
      <c r="H1742" s="258">
        <f t="shared" si="194"/>
        <v>0</v>
      </c>
      <c r="I1742" s="228"/>
      <c r="J1742" s="228"/>
      <c r="K1742" s="228"/>
      <c r="L1742"/>
      <c r="M1742"/>
    </row>
    <row r="1743" spans="1:13" s="56" customFormat="1" x14ac:dyDescent="0.2">
      <c r="A1743" s="155" t="s">
        <v>50</v>
      </c>
      <c r="B1743" s="58" t="s">
        <v>802</v>
      </c>
      <c r="C1743" s="58" t="s">
        <v>557</v>
      </c>
      <c r="D1743" s="58" t="s">
        <v>91</v>
      </c>
      <c r="E1743" s="58" t="s">
        <v>277</v>
      </c>
      <c r="F1743" s="51">
        <v>0.1</v>
      </c>
      <c r="G1743" s="51">
        <v>0.1</v>
      </c>
      <c r="H1743" s="258">
        <f t="shared" si="194"/>
        <v>1</v>
      </c>
      <c r="I1743" s="228"/>
      <c r="J1743" s="228"/>
      <c r="K1743" s="228"/>
      <c r="L1743"/>
      <c r="M1743"/>
    </row>
    <row r="1744" spans="1:13" s="5" customFormat="1" ht="45" customHeight="1" x14ac:dyDescent="0.2">
      <c r="A1744" s="36" t="s">
        <v>90</v>
      </c>
      <c r="B1744" s="31" t="s">
        <v>802</v>
      </c>
      <c r="C1744" s="31" t="s">
        <v>557</v>
      </c>
      <c r="D1744" s="58" t="s">
        <v>902</v>
      </c>
      <c r="E1744" s="31"/>
      <c r="F1744" s="104">
        <f>F1745+F1747</f>
        <v>1252.3</v>
      </c>
      <c r="G1744" s="104">
        <f>G1745+G1747</f>
        <v>1131</v>
      </c>
      <c r="H1744" s="258">
        <f t="shared" si="194"/>
        <v>0.90313822566477686</v>
      </c>
      <c r="I1744" s="228"/>
      <c r="J1744" s="228"/>
      <c r="K1744" s="228"/>
      <c r="L1744"/>
      <c r="M1744"/>
    </row>
    <row r="1745" spans="1:13" s="5" customFormat="1" x14ac:dyDescent="0.2">
      <c r="A1745" s="36" t="s">
        <v>821</v>
      </c>
      <c r="B1745" s="31" t="s">
        <v>802</v>
      </c>
      <c r="C1745" s="31" t="s">
        <v>557</v>
      </c>
      <c r="D1745" s="58" t="s">
        <v>902</v>
      </c>
      <c r="E1745" s="31" t="s">
        <v>137</v>
      </c>
      <c r="F1745" s="104">
        <f>F1746</f>
        <v>1252.3</v>
      </c>
      <c r="G1745" s="104">
        <f>G1746</f>
        <v>1131</v>
      </c>
      <c r="H1745" s="258">
        <f t="shared" si="194"/>
        <v>0.90313822566477686</v>
      </c>
      <c r="I1745" s="228"/>
      <c r="J1745" s="228"/>
      <c r="K1745" s="228"/>
      <c r="L1745"/>
      <c r="M1745"/>
    </row>
    <row r="1746" spans="1:13" s="5" customFormat="1" x14ac:dyDescent="0.2">
      <c r="A1746" s="36" t="s">
        <v>822</v>
      </c>
      <c r="B1746" s="31" t="s">
        <v>802</v>
      </c>
      <c r="C1746" s="31" t="s">
        <v>557</v>
      </c>
      <c r="D1746" s="58" t="s">
        <v>902</v>
      </c>
      <c r="E1746" s="31" t="s">
        <v>823</v>
      </c>
      <c r="F1746" s="104">
        <v>1252.3</v>
      </c>
      <c r="G1746" s="104">
        <v>1131</v>
      </c>
      <c r="H1746" s="258">
        <f t="shared" si="194"/>
        <v>0.90313822566477686</v>
      </c>
      <c r="I1746" s="228"/>
      <c r="J1746" s="228"/>
      <c r="K1746" s="228"/>
      <c r="L1746"/>
      <c r="M1746"/>
    </row>
    <row r="1747" spans="1:13" s="5" customFormat="1" hidden="1" x14ac:dyDescent="0.2">
      <c r="A1747" s="36" t="s">
        <v>29</v>
      </c>
      <c r="B1747" s="31" t="s">
        <v>802</v>
      </c>
      <c r="C1747" s="31" t="s">
        <v>557</v>
      </c>
      <c r="D1747" s="58" t="s">
        <v>902</v>
      </c>
      <c r="E1747" s="31" t="s">
        <v>130</v>
      </c>
      <c r="F1747" s="104">
        <f>F1748</f>
        <v>0</v>
      </c>
      <c r="G1747" s="104">
        <f>G1748</f>
        <v>0</v>
      </c>
      <c r="H1747" s="258" t="e">
        <f t="shared" si="194"/>
        <v>#DIV/0!</v>
      </c>
      <c r="I1747" s="228"/>
      <c r="J1747" s="228"/>
      <c r="K1747" s="228"/>
      <c r="L1747"/>
      <c r="M1747"/>
    </row>
    <row r="1748" spans="1:13" s="5" customFormat="1" hidden="1" x14ac:dyDescent="0.2">
      <c r="A1748" s="36" t="s">
        <v>50</v>
      </c>
      <c r="B1748" s="31" t="s">
        <v>802</v>
      </c>
      <c r="C1748" s="31" t="s">
        <v>557</v>
      </c>
      <c r="D1748" s="58" t="s">
        <v>902</v>
      </c>
      <c r="E1748" s="31" t="s">
        <v>277</v>
      </c>
      <c r="F1748" s="104">
        <v>0</v>
      </c>
      <c r="G1748" s="104">
        <v>0</v>
      </c>
      <c r="H1748" s="258" t="e">
        <f t="shared" si="194"/>
        <v>#DIV/0!</v>
      </c>
      <c r="I1748" s="228"/>
      <c r="J1748" s="228"/>
      <c r="K1748" s="228"/>
      <c r="L1748"/>
      <c r="M1748"/>
    </row>
    <row r="1749" spans="1:13" s="45" customFormat="1" ht="63" hidden="1" x14ac:dyDescent="0.2">
      <c r="A1749" s="36" t="s">
        <v>90</v>
      </c>
      <c r="B1749" s="31" t="s">
        <v>802</v>
      </c>
      <c r="C1749" s="31" t="s">
        <v>557</v>
      </c>
      <c r="D1749" s="32" t="s">
        <v>903</v>
      </c>
      <c r="E1749" s="31"/>
      <c r="F1749" s="104">
        <f>F1750+F1752</f>
        <v>0</v>
      </c>
      <c r="G1749" s="104">
        <f>G1750+G1752</f>
        <v>0</v>
      </c>
      <c r="H1749" s="258" t="e">
        <f t="shared" si="194"/>
        <v>#DIV/0!</v>
      </c>
      <c r="I1749" s="228"/>
      <c r="J1749" s="228"/>
      <c r="K1749" s="228"/>
      <c r="L1749"/>
      <c r="M1749"/>
    </row>
    <row r="1750" spans="1:13" s="45" customFormat="1" hidden="1" x14ac:dyDescent="0.2">
      <c r="A1750" s="36" t="s">
        <v>821</v>
      </c>
      <c r="B1750" s="31" t="s">
        <v>802</v>
      </c>
      <c r="C1750" s="31" t="s">
        <v>557</v>
      </c>
      <c r="D1750" s="32" t="s">
        <v>903</v>
      </c>
      <c r="E1750" s="31" t="s">
        <v>137</v>
      </c>
      <c r="F1750" s="104">
        <f>F1751</f>
        <v>0</v>
      </c>
      <c r="G1750" s="104">
        <f>G1751</f>
        <v>0</v>
      </c>
      <c r="H1750" s="258" t="e">
        <f t="shared" si="194"/>
        <v>#DIV/0!</v>
      </c>
      <c r="I1750" s="228"/>
      <c r="J1750" s="228"/>
      <c r="K1750" s="228"/>
      <c r="L1750"/>
      <c r="M1750"/>
    </row>
    <row r="1751" spans="1:13" s="45" customFormat="1" hidden="1" x14ac:dyDescent="0.2">
      <c r="A1751" s="36" t="s">
        <v>822</v>
      </c>
      <c r="B1751" s="31" t="s">
        <v>802</v>
      </c>
      <c r="C1751" s="31" t="s">
        <v>557</v>
      </c>
      <c r="D1751" s="32" t="s">
        <v>903</v>
      </c>
      <c r="E1751" s="31" t="s">
        <v>823</v>
      </c>
      <c r="F1751" s="104"/>
      <c r="G1751" s="104"/>
      <c r="H1751" s="258" t="e">
        <f t="shared" si="194"/>
        <v>#DIV/0!</v>
      </c>
      <c r="I1751" s="228"/>
      <c r="J1751" s="228"/>
      <c r="K1751" s="228"/>
      <c r="L1751"/>
      <c r="M1751"/>
    </row>
    <row r="1752" spans="1:13" s="45" customFormat="1" hidden="1" x14ac:dyDescent="0.2">
      <c r="A1752" s="36" t="s">
        <v>29</v>
      </c>
      <c r="B1752" s="31" t="s">
        <v>802</v>
      </c>
      <c r="C1752" s="31" t="s">
        <v>557</v>
      </c>
      <c r="D1752" s="32" t="s">
        <v>903</v>
      </c>
      <c r="E1752" s="31" t="s">
        <v>130</v>
      </c>
      <c r="F1752" s="104">
        <f>F1753</f>
        <v>0</v>
      </c>
      <c r="G1752" s="104">
        <f>G1753</f>
        <v>0</v>
      </c>
      <c r="H1752" s="258" t="e">
        <f t="shared" si="194"/>
        <v>#DIV/0!</v>
      </c>
      <c r="I1752" s="228"/>
      <c r="J1752" s="228"/>
      <c r="K1752" s="228"/>
      <c r="L1752"/>
      <c r="M1752"/>
    </row>
    <row r="1753" spans="1:13" s="45" customFormat="1" hidden="1" x14ac:dyDescent="0.2">
      <c r="A1753" s="36" t="s">
        <v>50</v>
      </c>
      <c r="B1753" s="31" t="s">
        <v>802</v>
      </c>
      <c r="C1753" s="31" t="s">
        <v>557</v>
      </c>
      <c r="D1753" s="32" t="s">
        <v>903</v>
      </c>
      <c r="E1753" s="31">
        <v>870</v>
      </c>
      <c r="F1753" s="104">
        <v>0</v>
      </c>
      <c r="G1753" s="104">
        <v>0</v>
      </c>
      <c r="H1753" s="258" t="e">
        <f t="shared" si="194"/>
        <v>#DIV/0!</v>
      </c>
      <c r="I1753" s="228"/>
      <c r="J1753" s="228"/>
      <c r="K1753" s="228"/>
      <c r="L1753"/>
      <c r="M1753"/>
    </row>
    <row r="1754" spans="1:13" s="45" customFormat="1" x14ac:dyDescent="0.2">
      <c r="A1754" s="90" t="s">
        <v>120</v>
      </c>
      <c r="B1754" s="15" t="s">
        <v>802</v>
      </c>
      <c r="C1754" s="15" t="s">
        <v>557</v>
      </c>
      <c r="D1754" s="15" t="s">
        <v>121</v>
      </c>
      <c r="E1754" s="24"/>
      <c r="F1754" s="80">
        <f t="shared" ref="F1754:G1757" si="199">F1755</f>
        <v>857.6</v>
      </c>
      <c r="G1754" s="80">
        <f t="shared" si="199"/>
        <v>857.6</v>
      </c>
      <c r="H1754" s="258">
        <f t="shared" si="194"/>
        <v>1</v>
      </c>
      <c r="I1754" s="228"/>
      <c r="J1754" s="228"/>
      <c r="K1754" s="228"/>
      <c r="L1754"/>
      <c r="M1754"/>
    </row>
    <row r="1755" spans="1:13" s="45" customFormat="1" x14ac:dyDescent="0.2">
      <c r="A1755" s="36" t="s">
        <v>30</v>
      </c>
      <c r="B1755" s="31" t="s">
        <v>802</v>
      </c>
      <c r="C1755" s="31" t="s">
        <v>557</v>
      </c>
      <c r="D1755" s="32" t="s">
        <v>904</v>
      </c>
      <c r="E1755" s="31"/>
      <c r="F1755" s="104">
        <f t="shared" si="199"/>
        <v>857.6</v>
      </c>
      <c r="G1755" s="104">
        <f t="shared" si="199"/>
        <v>857.6</v>
      </c>
      <c r="H1755" s="258">
        <f t="shared" si="194"/>
        <v>1</v>
      </c>
      <c r="I1755" s="228"/>
      <c r="J1755" s="228"/>
      <c r="K1755" s="228"/>
      <c r="L1755"/>
      <c r="M1755"/>
    </row>
    <row r="1756" spans="1:13" s="45" customFormat="1" x14ac:dyDescent="0.2">
      <c r="A1756" s="36" t="s">
        <v>905</v>
      </c>
      <c r="B1756" s="31" t="s">
        <v>802</v>
      </c>
      <c r="C1756" s="31" t="s">
        <v>557</v>
      </c>
      <c r="D1756" s="32" t="s">
        <v>906</v>
      </c>
      <c r="E1756" s="31"/>
      <c r="F1756" s="104">
        <f t="shared" si="199"/>
        <v>857.6</v>
      </c>
      <c r="G1756" s="104">
        <f t="shared" si="199"/>
        <v>857.6</v>
      </c>
      <c r="H1756" s="258">
        <f t="shared" si="194"/>
        <v>1</v>
      </c>
      <c r="I1756" s="228"/>
      <c r="J1756" s="228"/>
      <c r="K1756" s="228"/>
      <c r="L1756"/>
      <c r="M1756"/>
    </row>
    <row r="1757" spans="1:13" s="45" customFormat="1" x14ac:dyDescent="0.2">
      <c r="A1757" s="36" t="s">
        <v>821</v>
      </c>
      <c r="B1757" s="31" t="s">
        <v>802</v>
      </c>
      <c r="C1757" s="31" t="s">
        <v>557</v>
      </c>
      <c r="D1757" s="32" t="s">
        <v>906</v>
      </c>
      <c r="E1757" s="31" t="s">
        <v>137</v>
      </c>
      <c r="F1757" s="104">
        <f t="shared" si="199"/>
        <v>857.6</v>
      </c>
      <c r="G1757" s="104">
        <f t="shared" si="199"/>
        <v>857.6</v>
      </c>
      <c r="H1757" s="258">
        <f t="shared" si="194"/>
        <v>1</v>
      </c>
      <c r="I1757" s="228"/>
      <c r="J1757" s="228"/>
      <c r="K1757" s="228"/>
      <c r="L1757"/>
      <c r="M1757"/>
    </row>
    <row r="1758" spans="1:13" s="45" customFormat="1" x14ac:dyDescent="0.2">
      <c r="A1758" s="36" t="s">
        <v>825</v>
      </c>
      <c r="B1758" s="31" t="s">
        <v>802</v>
      </c>
      <c r="C1758" s="31" t="s">
        <v>557</v>
      </c>
      <c r="D1758" s="32" t="s">
        <v>906</v>
      </c>
      <c r="E1758" s="31" t="s">
        <v>826</v>
      </c>
      <c r="F1758" s="104">
        <v>857.6</v>
      </c>
      <c r="G1758" s="104">
        <v>857.6</v>
      </c>
      <c r="H1758" s="258">
        <f t="shared" si="194"/>
        <v>1</v>
      </c>
      <c r="I1758" s="228"/>
      <c r="J1758" s="228"/>
      <c r="K1758" s="228"/>
      <c r="L1758"/>
      <c r="M1758"/>
    </row>
    <row r="1759" spans="1:13" s="45" customFormat="1" x14ac:dyDescent="0.2">
      <c r="A1759" s="90" t="s">
        <v>571</v>
      </c>
      <c r="B1759" s="15" t="s">
        <v>802</v>
      </c>
      <c r="C1759" s="15" t="s">
        <v>572</v>
      </c>
      <c r="D1759" s="15"/>
      <c r="E1759" s="24"/>
      <c r="F1759" s="48">
        <f t="shared" ref="F1759:G1761" si="200">F1760</f>
        <v>161.9</v>
      </c>
      <c r="G1759" s="48">
        <f t="shared" si="200"/>
        <v>161.9</v>
      </c>
      <c r="H1759" s="258">
        <f t="shared" si="194"/>
        <v>1</v>
      </c>
      <c r="I1759" s="228"/>
      <c r="J1759" s="228"/>
      <c r="K1759" s="228"/>
      <c r="L1759"/>
      <c r="M1759"/>
    </row>
    <row r="1760" spans="1:13" s="5" customFormat="1" x14ac:dyDescent="0.2">
      <c r="A1760" s="33" t="s">
        <v>614</v>
      </c>
      <c r="B1760" s="34" t="s">
        <v>802</v>
      </c>
      <c r="C1760" s="34" t="s">
        <v>596</v>
      </c>
      <c r="D1760" s="34"/>
      <c r="E1760" s="41"/>
      <c r="F1760" s="35">
        <f t="shared" si="200"/>
        <v>161.9</v>
      </c>
      <c r="G1760" s="35">
        <f t="shared" si="200"/>
        <v>161.9</v>
      </c>
      <c r="H1760" s="258">
        <f t="shared" si="194"/>
        <v>1</v>
      </c>
      <c r="I1760" s="228"/>
      <c r="J1760" s="228"/>
      <c r="K1760" s="228"/>
      <c r="L1760"/>
      <c r="M1760"/>
    </row>
    <row r="1761" spans="1:13" s="56" customFormat="1" ht="31.5" x14ac:dyDescent="0.2">
      <c r="A1761" s="127" t="s">
        <v>591</v>
      </c>
      <c r="B1761" s="53" t="s">
        <v>802</v>
      </c>
      <c r="C1761" s="53" t="s">
        <v>596</v>
      </c>
      <c r="D1761" s="53" t="s">
        <v>592</v>
      </c>
      <c r="E1761" s="53"/>
      <c r="F1761" s="48">
        <f t="shared" si="200"/>
        <v>161.9</v>
      </c>
      <c r="G1761" s="48">
        <f t="shared" si="200"/>
        <v>161.9</v>
      </c>
      <c r="H1761" s="258">
        <f t="shared" si="194"/>
        <v>1</v>
      </c>
      <c r="I1761" s="124"/>
      <c r="J1761" s="124"/>
      <c r="K1761" s="124"/>
      <c r="L1761" s="125"/>
      <c r="M1761" s="125"/>
    </row>
    <row r="1762" spans="1:13" s="5" customFormat="1" ht="33" customHeight="1" x14ac:dyDescent="0.2">
      <c r="A1762" s="30" t="s">
        <v>907</v>
      </c>
      <c r="B1762" s="31" t="s">
        <v>802</v>
      </c>
      <c r="C1762" s="58" t="s">
        <v>596</v>
      </c>
      <c r="D1762" s="32" t="s">
        <v>908</v>
      </c>
      <c r="E1762" s="31"/>
      <c r="F1762" s="49">
        <f>F1763+F1765</f>
        <v>161.9</v>
      </c>
      <c r="G1762" s="49">
        <f>G1763+G1765</f>
        <v>161.9</v>
      </c>
      <c r="H1762" s="258">
        <f t="shared" si="194"/>
        <v>1</v>
      </c>
      <c r="I1762" s="124"/>
      <c r="J1762" s="124"/>
      <c r="K1762" s="124"/>
      <c r="L1762" s="125"/>
      <c r="M1762" s="125"/>
    </row>
    <row r="1763" spans="1:13" s="5" customFormat="1" ht="31.5" hidden="1" x14ac:dyDescent="0.2">
      <c r="A1763" s="81" t="s">
        <v>25</v>
      </c>
      <c r="B1763" s="31" t="s">
        <v>8</v>
      </c>
      <c r="C1763" s="58" t="s">
        <v>596</v>
      </c>
      <c r="D1763" s="32" t="s">
        <v>593</v>
      </c>
      <c r="E1763" s="31" t="s">
        <v>36</v>
      </c>
      <c r="F1763" s="49">
        <f>F1764</f>
        <v>0</v>
      </c>
      <c r="G1763" s="49">
        <f>G1764</f>
        <v>0</v>
      </c>
      <c r="H1763" s="258" t="e">
        <f t="shared" si="194"/>
        <v>#DIV/0!</v>
      </c>
      <c r="I1763" s="124"/>
      <c r="J1763" s="124"/>
      <c r="K1763" s="124"/>
      <c r="L1763" s="125"/>
      <c r="M1763" s="125"/>
    </row>
    <row r="1764" spans="1:13" s="28" customFormat="1" ht="31.5" hidden="1" x14ac:dyDescent="0.2">
      <c r="A1764" s="81" t="s">
        <v>26</v>
      </c>
      <c r="B1764" s="31" t="s">
        <v>8</v>
      </c>
      <c r="C1764" s="58" t="s">
        <v>596</v>
      </c>
      <c r="D1764" s="32" t="s">
        <v>593</v>
      </c>
      <c r="E1764" s="31" t="s">
        <v>37</v>
      </c>
      <c r="F1764" s="49">
        <f>5917-5917</f>
        <v>0</v>
      </c>
      <c r="G1764" s="49">
        <f>5917-5917</f>
        <v>0</v>
      </c>
      <c r="H1764" s="258" t="e">
        <f t="shared" si="194"/>
        <v>#DIV/0!</v>
      </c>
      <c r="I1764" s="124"/>
      <c r="J1764" s="124"/>
      <c r="K1764" s="124"/>
      <c r="L1764" s="125"/>
      <c r="M1764" s="125"/>
    </row>
    <row r="1765" spans="1:13" s="5" customFormat="1" x14ac:dyDescent="0.2">
      <c r="A1765" s="36" t="s">
        <v>821</v>
      </c>
      <c r="B1765" s="31" t="s">
        <v>802</v>
      </c>
      <c r="C1765" s="58" t="s">
        <v>596</v>
      </c>
      <c r="D1765" s="32" t="s">
        <v>908</v>
      </c>
      <c r="E1765" s="31" t="s">
        <v>137</v>
      </c>
      <c r="F1765" s="49">
        <f>F1766</f>
        <v>161.9</v>
      </c>
      <c r="G1765" s="49">
        <f>G1766</f>
        <v>161.9</v>
      </c>
      <c r="H1765" s="258">
        <f t="shared" si="194"/>
        <v>1</v>
      </c>
      <c r="I1765" s="124"/>
      <c r="J1765" s="124"/>
      <c r="K1765" s="124"/>
      <c r="L1765" s="125"/>
      <c r="M1765" s="125"/>
    </row>
    <row r="1766" spans="1:13" s="5" customFormat="1" x14ac:dyDescent="0.2">
      <c r="A1766" s="36" t="s">
        <v>825</v>
      </c>
      <c r="B1766" s="31" t="s">
        <v>802</v>
      </c>
      <c r="C1766" s="58" t="s">
        <v>596</v>
      </c>
      <c r="D1766" s="32" t="s">
        <v>908</v>
      </c>
      <c r="E1766" s="31" t="s">
        <v>826</v>
      </c>
      <c r="F1766" s="49">
        <v>161.9</v>
      </c>
      <c r="G1766" s="49">
        <v>161.9</v>
      </c>
      <c r="H1766" s="258">
        <f t="shared" si="194"/>
        <v>1</v>
      </c>
      <c r="I1766" s="124"/>
      <c r="J1766" s="124"/>
      <c r="K1766" s="124"/>
      <c r="L1766" s="125"/>
      <c r="M1766" s="125"/>
    </row>
    <row r="1767" spans="1:13" s="28" customFormat="1" ht="31.5" hidden="1" x14ac:dyDescent="0.2">
      <c r="A1767" s="14" t="s">
        <v>909</v>
      </c>
      <c r="B1767" s="15" t="s">
        <v>802</v>
      </c>
      <c r="C1767" s="15" t="s">
        <v>910</v>
      </c>
      <c r="D1767" s="24"/>
      <c r="E1767" s="15"/>
      <c r="F1767" s="203">
        <f t="shared" ref="F1767:G1770" si="201">F1768</f>
        <v>0</v>
      </c>
      <c r="G1767" s="203">
        <f t="shared" si="201"/>
        <v>0</v>
      </c>
      <c r="H1767" s="258" t="e">
        <f t="shared" si="194"/>
        <v>#DIV/0!</v>
      </c>
      <c r="I1767" s="228"/>
      <c r="J1767" s="228"/>
      <c r="K1767" s="228"/>
      <c r="L1767"/>
      <c r="M1767"/>
    </row>
    <row r="1768" spans="1:13" s="45" customFormat="1" ht="31.5" hidden="1" x14ac:dyDescent="0.2">
      <c r="A1768" s="36" t="s">
        <v>911</v>
      </c>
      <c r="B1768" s="31" t="s">
        <v>802</v>
      </c>
      <c r="C1768" s="31" t="s">
        <v>912</v>
      </c>
      <c r="D1768" s="32"/>
      <c r="E1768" s="31"/>
      <c r="F1768" s="104">
        <f t="shared" si="201"/>
        <v>0</v>
      </c>
      <c r="G1768" s="104">
        <f t="shared" si="201"/>
        <v>0</v>
      </c>
      <c r="H1768" s="258" t="e">
        <f t="shared" si="194"/>
        <v>#DIV/0!</v>
      </c>
      <c r="I1768" s="228"/>
      <c r="J1768" s="228"/>
      <c r="K1768" s="228"/>
      <c r="L1768"/>
      <c r="M1768"/>
    </row>
    <row r="1769" spans="1:13" s="5" customFormat="1" hidden="1" x14ac:dyDescent="0.2">
      <c r="A1769" s="36" t="s">
        <v>913</v>
      </c>
      <c r="B1769" s="31" t="s">
        <v>802</v>
      </c>
      <c r="C1769" s="31" t="s">
        <v>912</v>
      </c>
      <c r="D1769" s="32" t="s">
        <v>621</v>
      </c>
      <c r="E1769" s="31"/>
      <c r="F1769" s="104">
        <f t="shared" si="201"/>
        <v>0</v>
      </c>
      <c r="G1769" s="104">
        <f t="shared" si="201"/>
        <v>0</v>
      </c>
      <c r="H1769" s="258" t="e">
        <f t="shared" ref="H1769:H1832" si="202">G1769/F1769</f>
        <v>#DIV/0!</v>
      </c>
      <c r="I1769" s="228"/>
      <c r="J1769" s="228"/>
      <c r="K1769" s="228"/>
      <c r="L1769"/>
      <c r="M1769"/>
    </row>
    <row r="1770" spans="1:13" s="5" customFormat="1" ht="31.5" hidden="1" x14ac:dyDescent="0.2">
      <c r="A1770" s="36" t="s">
        <v>914</v>
      </c>
      <c r="B1770" s="31" t="s">
        <v>802</v>
      </c>
      <c r="C1770" s="31" t="s">
        <v>912</v>
      </c>
      <c r="D1770" s="32" t="s">
        <v>621</v>
      </c>
      <c r="E1770" s="31" t="s">
        <v>915</v>
      </c>
      <c r="F1770" s="104">
        <f t="shared" si="201"/>
        <v>0</v>
      </c>
      <c r="G1770" s="104">
        <f t="shared" si="201"/>
        <v>0</v>
      </c>
      <c r="H1770" s="258" t="e">
        <f t="shared" si="202"/>
        <v>#DIV/0!</v>
      </c>
      <c r="I1770" s="228"/>
      <c r="J1770" s="228"/>
      <c r="K1770" s="228"/>
      <c r="L1770"/>
      <c r="M1770"/>
    </row>
    <row r="1771" spans="1:13" s="5" customFormat="1" hidden="1" x14ac:dyDescent="0.2">
      <c r="A1771" s="36" t="s">
        <v>913</v>
      </c>
      <c r="B1771" s="31" t="s">
        <v>802</v>
      </c>
      <c r="C1771" s="31" t="s">
        <v>912</v>
      </c>
      <c r="D1771" s="32" t="s">
        <v>621</v>
      </c>
      <c r="E1771" s="31" t="s">
        <v>916</v>
      </c>
      <c r="F1771" s="104"/>
      <c r="G1771" s="104"/>
      <c r="H1771" s="258" t="e">
        <f t="shared" si="202"/>
        <v>#DIV/0!</v>
      </c>
      <c r="I1771" s="228"/>
      <c r="J1771" s="228"/>
      <c r="K1771" s="228"/>
      <c r="L1771"/>
      <c r="M1771"/>
    </row>
    <row r="1772" spans="1:13" s="5" customFormat="1" ht="47.25" x14ac:dyDescent="0.2">
      <c r="A1772" s="23" t="s">
        <v>917</v>
      </c>
      <c r="B1772" s="15" t="s">
        <v>802</v>
      </c>
      <c r="C1772" s="15" t="s">
        <v>918</v>
      </c>
      <c r="D1772" s="15"/>
      <c r="E1772" s="24"/>
      <c r="F1772" s="80">
        <f>F1773+F1785</f>
        <v>39194.5</v>
      </c>
      <c r="G1772" s="80">
        <f>G1773+G1785</f>
        <v>29972.799999999996</v>
      </c>
      <c r="H1772" s="258">
        <f t="shared" si="202"/>
        <v>0.76471953973133977</v>
      </c>
      <c r="I1772" s="228"/>
      <c r="J1772" s="228"/>
      <c r="K1772" s="228"/>
      <c r="L1772"/>
      <c r="M1772"/>
    </row>
    <row r="1773" spans="1:13" s="28" customFormat="1" ht="47.25" x14ac:dyDescent="0.2">
      <c r="A1773" s="33" t="s">
        <v>919</v>
      </c>
      <c r="B1773" s="34" t="s">
        <v>802</v>
      </c>
      <c r="C1773" s="34" t="s">
        <v>920</v>
      </c>
      <c r="D1773" s="34"/>
      <c r="E1773" s="41"/>
      <c r="F1773" s="35">
        <f>F1780+F1775</f>
        <v>26900</v>
      </c>
      <c r="G1773" s="35">
        <f>G1780+G1775</f>
        <v>20274.699999999997</v>
      </c>
      <c r="H1773" s="258">
        <f t="shared" si="202"/>
        <v>0.75370631970260216</v>
      </c>
      <c r="I1773" s="228"/>
      <c r="J1773" s="228"/>
      <c r="K1773" s="228"/>
      <c r="L1773"/>
      <c r="M1773"/>
    </row>
    <row r="1774" spans="1:13" s="28" customFormat="1" ht="48" customHeight="1" x14ac:dyDescent="0.2">
      <c r="A1774" s="14" t="s">
        <v>921</v>
      </c>
      <c r="B1774" s="15" t="s">
        <v>802</v>
      </c>
      <c r="C1774" s="15" t="s">
        <v>920</v>
      </c>
      <c r="D1774" s="15" t="s">
        <v>814</v>
      </c>
      <c r="E1774" s="15"/>
      <c r="F1774" s="80">
        <f t="shared" ref="F1774:G1776" si="203">F1775</f>
        <v>24268.799999999999</v>
      </c>
      <c r="G1774" s="80">
        <f t="shared" si="203"/>
        <v>18201.599999999999</v>
      </c>
      <c r="H1774" s="258">
        <f t="shared" si="202"/>
        <v>0.75</v>
      </c>
      <c r="I1774" s="228"/>
      <c r="J1774" s="228"/>
      <c r="K1774" s="228"/>
      <c r="L1774"/>
      <c r="M1774"/>
    </row>
    <row r="1775" spans="1:13" s="28" customFormat="1" ht="31.5" x14ac:dyDescent="0.2">
      <c r="A1775" s="36" t="s">
        <v>815</v>
      </c>
      <c r="B1775" s="31" t="s">
        <v>802</v>
      </c>
      <c r="C1775" s="31" t="s">
        <v>920</v>
      </c>
      <c r="D1775" s="31" t="s">
        <v>816</v>
      </c>
      <c r="E1775" s="31"/>
      <c r="F1775" s="83">
        <f t="shared" si="203"/>
        <v>24268.799999999999</v>
      </c>
      <c r="G1775" s="83">
        <f t="shared" si="203"/>
        <v>18201.599999999999</v>
      </c>
      <c r="H1775" s="258">
        <f t="shared" si="202"/>
        <v>0.75</v>
      </c>
      <c r="I1775" s="228"/>
      <c r="J1775" s="228"/>
      <c r="K1775" s="228"/>
      <c r="L1775"/>
      <c r="M1775"/>
    </row>
    <row r="1776" spans="1:13" s="28" customFormat="1" ht="63" x14ac:dyDescent="0.2">
      <c r="A1776" s="36" t="s">
        <v>922</v>
      </c>
      <c r="B1776" s="31" t="s">
        <v>802</v>
      </c>
      <c r="C1776" s="31" t="s">
        <v>920</v>
      </c>
      <c r="D1776" s="31" t="s">
        <v>923</v>
      </c>
      <c r="E1776" s="31"/>
      <c r="F1776" s="83">
        <f t="shared" si="203"/>
        <v>24268.799999999999</v>
      </c>
      <c r="G1776" s="83">
        <f t="shared" si="203"/>
        <v>18201.599999999999</v>
      </c>
      <c r="H1776" s="258">
        <f t="shared" si="202"/>
        <v>0.75</v>
      </c>
      <c r="I1776" s="228"/>
      <c r="J1776" s="228"/>
      <c r="K1776" s="228"/>
      <c r="L1776"/>
      <c r="M1776"/>
    </row>
    <row r="1777" spans="1:13" s="5" customFormat="1" ht="63" x14ac:dyDescent="0.2">
      <c r="A1777" s="36" t="s">
        <v>924</v>
      </c>
      <c r="B1777" s="31" t="s">
        <v>802</v>
      </c>
      <c r="C1777" s="31" t="s">
        <v>920</v>
      </c>
      <c r="D1777" s="31" t="s">
        <v>925</v>
      </c>
      <c r="E1777" s="31"/>
      <c r="F1777" s="83">
        <f>F1779</f>
        <v>24268.799999999999</v>
      </c>
      <c r="G1777" s="83">
        <f>G1779</f>
        <v>18201.599999999999</v>
      </c>
      <c r="H1777" s="258">
        <f t="shared" si="202"/>
        <v>0.75</v>
      </c>
      <c r="I1777" s="228"/>
      <c r="J1777" s="228"/>
      <c r="K1777" s="228"/>
      <c r="L1777"/>
      <c r="M1777"/>
    </row>
    <row r="1778" spans="1:13" s="5" customFormat="1" ht="19.5" customHeight="1" x14ac:dyDescent="0.2">
      <c r="A1778" s="36" t="s">
        <v>821</v>
      </c>
      <c r="B1778" s="31" t="s">
        <v>802</v>
      </c>
      <c r="C1778" s="31" t="s">
        <v>920</v>
      </c>
      <c r="D1778" s="31" t="s">
        <v>925</v>
      </c>
      <c r="E1778" s="32" t="s">
        <v>137</v>
      </c>
      <c r="F1778" s="83">
        <f>F1779</f>
        <v>24268.799999999999</v>
      </c>
      <c r="G1778" s="83">
        <f>G1779</f>
        <v>18201.599999999999</v>
      </c>
      <c r="H1778" s="258">
        <f t="shared" si="202"/>
        <v>0.75</v>
      </c>
      <c r="I1778" s="228"/>
      <c r="J1778" s="228"/>
      <c r="K1778" s="228"/>
      <c r="L1778"/>
      <c r="M1778"/>
    </row>
    <row r="1779" spans="1:13" s="28" customFormat="1" ht="17.25" customHeight="1" x14ac:dyDescent="0.2">
      <c r="A1779" s="36" t="s">
        <v>926</v>
      </c>
      <c r="B1779" s="31" t="s">
        <v>802</v>
      </c>
      <c r="C1779" s="31" t="s">
        <v>920</v>
      </c>
      <c r="D1779" s="31" t="s">
        <v>925</v>
      </c>
      <c r="E1779" s="32" t="s">
        <v>927</v>
      </c>
      <c r="F1779" s="83">
        <v>24268.799999999999</v>
      </c>
      <c r="G1779" s="83">
        <v>18201.599999999999</v>
      </c>
      <c r="H1779" s="258">
        <f t="shared" si="202"/>
        <v>0.75</v>
      </c>
      <c r="I1779" s="228"/>
      <c r="J1779" s="228"/>
      <c r="K1779" s="228"/>
      <c r="L1779"/>
      <c r="M1779"/>
    </row>
    <row r="1780" spans="1:13" s="28" customFormat="1" ht="17.45" customHeight="1" x14ac:dyDescent="0.2">
      <c r="A1780" s="14" t="s">
        <v>928</v>
      </c>
      <c r="B1780" s="15" t="s">
        <v>802</v>
      </c>
      <c r="C1780" s="15" t="s">
        <v>920</v>
      </c>
      <c r="D1780" s="15" t="s">
        <v>929</v>
      </c>
      <c r="E1780" s="24"/>
      <c r="F1780" s="80">
        <f>F1781</f>
        <v>2631.2</v>
      </c>
      <c r="G1780" s="80">
        <f>G1781</f>
        <v>2073.1</v>
      </c>
      <c r="H1780" s="258">
        <f t="shared" si="202"/>
        <v>0.78789145636971725</v>
      </c>
      <c r="I1780" s="228"/>
      <c r="J1780" s="228"/>
      <c r="K1780" s="228"/>
      <c r="L1780"/>
      <c r="M1780"/>
    </row>
    <row r="1781" spans="1:13" s="28" customFormat="1" x14ac:dyDescent="0.2">
      <c r="A1781" s="36" t="s">
        <v>928</v>
      </c>
      <c r="B1781" s="31" t="s">
        <v>802</v>
      </c>
      <c r="C1781" s="31" t="s">
        <v>920</v>
      </c>
      <c r="D1781" s="31" t="s">
        <v>930</v>
      </c>
      <c r="E1781" s="32"/>
      <c r="F1781" s="83">
        <f>F1782</f>
        <v>2631.2</v>
      </c>
      <c r="G1781" s="83">
        <f>G1782</f>
        <v>2073.1</v>
      </c>
      <c r="H1781" s="258">
        <f t="shared" si="202"/>
        <v>0.78789145636971725</v>
      </c>
      <c r="I1781" s="228"/>
      <c r="J1781" s="228"/>
      <c r="K1781" s="228"/>
      <c r="L1781"/>
      <c r="M1781"/>
    </row>
    <row r="1782" spans="1:13" s="5" customFormat="1" ht="31.5" customHeight="1" x14ac:dyDescent="0.2">
      <c r="A1782" s="36" t="s">
        <v>931</v>
      </c>
      <c r="B1782" s="31" t="s">
        <v>802</v>
      </c>
      <c r="C1782" s="31" t="s">
        <v>920</v>
      </c>
      <c r="D1782" s="31" t="s">
        <v>932</v>
      </c>
      <c r="E1782" s="32"/>
      <c r="F1782" s="83">
        <f>F1784</f>
        <v>2631.2</v>
      </c>
      <c r="G1782" s="83">
        <f>G1784</f>
        <v>2073.1</v>
      </c>
      <c r="H1782" s="258">
        <f t="shared" si="202"/>
        <v>0.78789145636971725</v>
      </c>
      <c r="I1782" s="228"/>
      <c r="J1782" s="228"/>
      <c r="K1782" s="228"/>
      <c r="L1782"/>
      <c r="M1782"/>
    </row>
    <row r="1783" spans="1:13" s="5" customFormat="1" ht="15.75" customHeight="1" x14ac:dyDescent="0.2">
      <c r="A1783" s="36" t="s">
        <v>821</v>
      </c>
      <c r="B1783" s="31" t="s">
        <v>802</v>
      </c>
      <c r="C1783" s="31" t="s">
        <v>920</v>
      </c>
      <c r="D1783" s="31" t="s">
        <v>932</v>
      </c>
      <c r="E1783" s="32">
        <v>500</v>
      </c>
      <c r="F1783" s="83">
        <f>F1784</f>
        <v>2631.2</v>
      </c>
      <c r="G1783" s="83">
        <f>G1784</f>
        <v>2073.1</v>
      </c>
      <c r="H1783" s="258">
        <f t="shared" si="202"/>
        <v>0.78789145636971725</v>
      </c>
      <c r="I1783" s="228"/>
      <c r="J1783" s="228"/>
      <c r="K1783" s="228"/>
      <c r="L1783"/>
      <c r="M1783"/>
    </row>
    <row r="1784" spans="1:13" s="28" customFormat="1" x14ac:dyDescent="0.2">
      <c r="A1784" s="36" t="s">
        <v>926</v>
      </c>
      <c r="B1784" s="31" t="s">
        <v>802</v>
      </c>
      <c r="C1784" s="31" t="s">
        <v>920</v>
      </c>
      <c r="D1784" s="31" t="s">
        <v>932</v>
      </c>
      <c r="E1784" s="32" t="s">
        <v>927</v>
      </c>
      <c r="F1784" s="176">
        <v>2631.2</v>
      </c>
      <c r="G1784" s="176">
        <v>2073.1</v>
      </c>
      <c r="H1784" s="258">
        <f t="shared" si="202"/>
        <v>0.78789145636971725</v>
      </c>
      <c r="I1784" s="228"/>
      <c r="J1784" s="228"/>
      <c r="K1784" s="228"/>
      <c r="L1784"/>
      <c r="M1784"/>
    </row>
    <row r="1785" spans="1:13" s="5" customFormat="1" ht="31.5" x14ac:dyDescent="0.2">
      <c r="A1785" s="33" t="s">
        <v>933</v>
      </c>
      <c r="B1785" s="34" t="s">
        <v>802</v>
      </c>
      <c r="C1785" s="34" t="s">
        <v>934</v>
      </c>
      <c r="D1785" s="31"/>
      <c r="E1785" s="31"/>
      <c r="F1785" s="136">
        <f>F1786+F1791+F1796+F1843+F1859</f>
        <v>12294.5</v>
      </c>
      <c r="G1785" s="136">
        <f>G1786+G1791+G1796+G1843+G1859</f>
        <v>9698.0999999999985</v>
      </c>
      <c r="H1785" s="258">
        <f t="shared" si="202"/>
        <v>0.78881613729716527</v>
      </c>
      <c r="I1785" s="228"/>
      <c r="J1785" s="228"/>
      <c r="K1785" s="228"/>
      <c r="L1785"/>
      <c r="M1785"/>
    </row>
    <row r="1786" spans="1:13" s="5" customFormat="1" ht="15.75" customHeight="1" x14ac:dyDescent="0.2">
      <c r="A1786" s="23" t="s">
        <v>67</v>
      </c>
      <c r="B1786" s="15" t="s">
        <v>802</v>
      </c>
      <c r="C1786" s="15" t="s">
        <v>934</v>
      </c>
      <c r="D1786" s="15" t="s">
        <v>68</v>
      </c>
      <c r="E1786" s="15"/>
      <c r="F1786" s="80">
        <f t="shared" ref="F1786:G1789" si="204">F1787</f>
        <v>136</v>
      </c>
      <c r="G1786" s="80">
        <f t="shared" si="204"/>
        <v>136</v>
      </c>
      <c r="H1786" s="258">
        <f t="shared" si="202"/>
        <v>1</v>
      </c>
      <c r="I1786" s="228"/>
      <c r="J1786" s="228"/>
      <c r="K1786" s="228"/>
      <c r="L1786"/>
      <c r="M1786"/>
    </row>
    <row r="1787" spans="1:13" s="28" customFormat="1" ht="17.45" customHeight="1" x14ac:dyDescent="0.2">
      <c r="A1787" s="36" t="s">
        <v>33</v>
      </c>
      <c r="B1787" s="31" t="s">
        <v>802</v>
      </c>
      <c r="C1787" s="31" t="s">
        <v>934</v>
      </c>
      <c r="D1787" s="31" t="s">
        <v>69</v>
      </c>
      <c r="E1787" s="41"/>
      <c r="F1787" s="83">
        <f t="shared" si="204"/>
        <v>136</v>
      </c>
      <c r="G1787" s="83">
        <f t="shared" si="204"/>
        <v>136</v>
      </c>
      <c r="H1787" s="258">
        <f t="shared" si="202"/>
        <v>1</v>
      </c>
      <c r="I1787" s="228"/>
      <c r="J1787" s="228"/>
      <c r="K1787" s="228"/>
      <c r="L1787"/>
      <c r="M1787"/>
    </row>
    <row r="1788" spans="1:13" s="28" customFormat="1" ht="15.75" customHeight="1" x14ac:dyDescent="0.2">
      <c r="A1788" s="36" t="s">
        <v>70</v>
      </c>
      <c r="B1788" s="31" t="s">
        <v>802</v>
      </c>
      <c r="C1788" s="31" t="s">
        <v>934</v>
      </c>
      <c r="D1788" s="31" t="s">
        <v>71</v>
      </c>
      <c r="E1788" s="41"/>
      <c r="F1788" s="83">
        <f t="shared" si="204"/>
        <v>136</v>
      </c>
      <c r="G1788" s="83">
        <f t="shared" si="204"/>
        <v>136</v>
      </c>
      <c r="H1788" s="258">
        <f t="shared" si="202"/>
        <v>1</v>
      </c>
      <c r="I1788" s="228"/>
      <c r="J1788" s="228"/>
      <c r="K1788" s="228"/>
      <c r="L1788"/>
      <c r="M1788"/>
    </row>
    <row r="1789" spans="1:13" s="28" customFormat="1" x14ac:dyDescent="0.2">
      <c r="A1789" s="36" t="s">
        <v>821</v>
      </c>
      <c r="B1789" s="31" t="s">
        <v>802</v>
      </c>
      <c r="C1789" s="31" t="s">
        <v>934</v>
      </c>
      <c r="D1789" s="31" t="s">
        <v>71</v>
      </c>
      <c r="E1789" s="32">
        <v>500</v>
      </c>
      <c r="F1789" s="83">
        <f t="shared" si="204"/>
        <v>136</v>
      </c>
      <c r="G1789" s="83">
        <f t="shared" si="204"/>
        <v>136</v>
      </c>
      <c r="H1789" s="258">
        <f t="shared" si="202"/>
        <v>1</v>
      </c>
      <c r="I1789" s="228"/>
      <c r="J1789" s="228"/>
      <c r="K1789" s="228"/>
      <c r="L1789"/>
      <c r="M1789"/>
    </row>
    <row r="1790" spans="1:13" s="5" customFormat="1" ht="19.149999999999999" customHeight="1" x14ac:dyDescent="0.2">
      <c r="A1790" s="36" t="s">
        <v>825</v>
      </c>
      <c r="B1790" s="31" t="s">
        <v>802</v>
      </c>
      <c r="C1790" s="31" t="s">
        <v>934</v>
      </c>
      <c r="D1790" s="31" t="s">
        <v>71</v>
      </c>
      <c r="E1790" s="32">
        <v>540</v>
      </c>
      <c r="F1790" s="83">
        <v>136</v>
      </c>
      <c r="G1790" s="83">
        <v>136</v>
      </c>
      <c r="H1790" s="258">
        <f t="shared" si="202"/>
        <v>1</v>
      </c>
      <c r="I1790" s="228"/>
      <c r="J1790" s="228"/>
      <c r="K1790" s="228"/>
      <c r="L1790"/>
      <c r="M1790"/>
    </row>
    <row r="1791" spans="1:13" s="45" customFormat="1" x14ac:dyDescent="0.2">
      <c r="A1791" s="23" t="s">
        <v>173</v>
      </c>
      <c r="B1791" s="15" t="s">
        <v>802</v>
      </c>
      <c r="C1791" s="15" t="s">
        <v>934</v>
      </c>
      <c r="D1791" s="15" t="s">
        <v>174</v>
      </c>
      <c r="E1791" s="34"/>
      <c r="F1791" s="78">
        <f t="shared" ref="F1791:G1794" si="205">F1792</f>
        <v>99</v>
      </c>
      <c r="G1791" s="78">
        <f t="shared" si="205"/>
        <v>99</v>
      </c>
      <c r="H1791" s="258">
        <f t="shared" si="202"/>
        <v>1</v>
      </c>
      <c r="I1791" s="228"/>
      <c r="J1791" s="228"/>
      <c r="K1791" s="228"/>
      <c r="L1791"/>
      <c r="M1791"/>
    </row>
    <row r="1792" spans="1:13" s="28" customFormat="1" x14ac:dyDescent="0.2">
      <c r="A1792" s="30" t="s">
        <v>175</v>
      </c>
      <c r="B1792" s="31" t="s">
        <v>802</v>
      </c>
      <c r="C1792" s="31" t="s">
        <v>934</v>
      </c>
      <c r="D1792" s="31" t="s">
        <v>176</v>
      </c>
      <c r="E1792" s="34"/>
      <c r="F1792" s="152">
        <f t="shared" si="205"/>
        <v>99</v>
      </c>
      <c r="G1792" s="152">
        <f t="shared" si="205"/>
        <v>99</v>
      </c>
      <c r="H1792" s="258">
        <f t="shared" si="202"/>
        <v>1</v>
      </c>
      <c r="I1792" s="228"/>
      <c r="J1792" s="228"/>
      <c r="K1792" s="228"/>
      <c r="L1792"/>
      <c r="M1792"/>
    </row>
    <row r="1793" spans="1:13" s="28" customFormat="1" ht="204" customHeight="1" x14ac:dyDescent="0.2">
      <c r="A1793" s="43" t="s">
        <v>183</v>
      </c>
      <c r="B1793" s="31" t="s">
        <v>802</v>
      </c>
      <c r="C1793" s="31" t="s">
        <v>934</v>
      </c>
      <c r="D1793" s="31" t="s">
        <v>184</v>
      </c>
      <c r="E1793" s="34"/>
      <c r="F1793" s="152">
        <f t="shared" si="205"/>
        <v>99</v>
      </c>
      <c r="G1793" s="152">
        <f t="shared" si="205"/>
        <v>99</v>
      </c>
      <c r="H1793" s="258">
        <f t="shared" si="202"/>
        <v>1</v>
      </c>
      <c r="I1793" s="228"/>
      <c r="J1793" s="228"/>
      <c r="K1793" s="228"/>
      <c r="L1793"/>
      <c r="M1793"/>
    </row>
    <row r="1794" spans="1:13" s="45" customFormat="1" x14ac:dyDescent="0.2">
      <c r="A1794" s="36" t="s">
        <v>821</v>
      </c>
      <c r="B1794" s="31" t="s">
        <v>802</v>
      </c>
      <c r="C1794" s="31" t="s">
        <v>934</v>
      </c>
      <c r="D1794" s="31" t="s">
        <v>184</v>
      </c>
      <c r="E1794" s="31" t="s">
        <v>137</v>
      </c>
      <c r="F1794" s="88">
        <f t="shared" si="205"/>
        <v>99</v>
      </c>
      <c r="G1794" s="88">
        <f t="shared" si="205"/>
        <v>99</v>
      </c>
      <c r="H1794" s="258">
        <f t="shared" si="202"/>
        <v>1</v>
      </c>
      <c r="I1794" s="228"/>
      <c r="J1794" s="228"/>
      <c r="K1794" s="228"/>
      <c r="L1794"/>
      <c r="M1794"/>
    </row>
    <row r="1795" spans="1:13" s="45" customFormat="1" x14ac:dyDescent="0.2">
      <c r="A1795" s="36" t="s">
        <v>825</v>
      </c>
      <c r="B1795" s="31" t="s">
        <v>802</v>
      </c>
      <c r="C1795" s="31" t="s">
        <v>934</v>
      </c>
      <c r="D1795" s="31" t="s">
        <v>184</v>
      </c>
      <c r="E1795" s="31" t="s">
        <v>826</v>
      </c>
      <c r="F1795" s="88">
        <v>99</v>
      </c>
      <c r="G1795" s="88">
        <v>99</v>
      </c>
      <c r="H1795" s="258">
        <f t="shared" si="202"/>
        <v>1</v>
      </c>
      <c r="I1795" s="228"/>
      <c r="J1795" s="228"/>
      <c r="K1795" s="228"/>
      <c r="L1795"/>
      <c r="M1795"/>
    </row>
    <row r="1796" spans="1:13" s="28" customFormat="1" x14ac:dyDescent="0.2">
      <c r="A1796" s="23" t="s">
        <v>839</v>
      </c>
      <c r="B1796" s="15" t="s">
        <v>802</v>
      </c>
      <c r="C1796" s="15" t="s">
        <v>934</v>
      </c>
      <c r="D1796" s="15" t="s">
        <v>840</v>
      </c>
      <c r="E1796" s="15"/>
      <c r="F1796" s="80">
        <f>F1797</f>
        <v>11012.300000000001</v>
      </c>
      <c r="G1796" s="80">
        <f>G1797</f>
        <v>8415.9</v>
      </c>
      <c r="H1796" s="258">
        <f t="shared" si="202"/>
        <v>0.76422727314003425</v>
      </c>
      <c r="I1796" s="228"/>
      <c r="J1796" s="228"/>
      <c r="K1796" s="228"/>
      <c r="L1796"/>
      <c r="M1796"/>
    </row>
    <row r="1797" spans="1:13" s="28" customFormat="1" ht="47.25" x14ac:dyDescent="0.2">
      <c r="A1797" s="30" t="s">
        <v>841</v>
      </c>
      <c r="B1797" s="31" t="s">
        <v>802</v>
      </c>
      <c r="C1797" s="31" t="s">
        <v>934</v>
      </c>
      <c r="D1797" s="31" t="s">
        <v>842</v>
      </c>
      <c r="E1797" s="31"/>
      <c r="F1797" s="83">
        <f>F1798+F1825</f>
        <v>11012.300000000001</v>
      </c>
      <c r="G1797" s="83">
        <f>G1798+G1825</f>
        <v>8415.9</v>
      </c>
      <c r="H1797" s="258">
        <f t="shared" si="202"/>
        <v>0.76422727314003425</v>
      </c>
      <c r="I1797" s="228"/>
      <c r="J1797" s="228"/>
      <c r="K1797" s="228"/>
      <c r="L1797"/>
      <c r="M1797"/>
    </row>
    <row r="1798" spans="1:13" s="5" customFormat="1" ht="47.25" x14ac:dyDescent="0.2">
      <c r="A1798" s="30" t="s">
        <v>935</v>
      </c>
      <c r="B1798" s="31" t="s">
        <v>802</v>
      </c>
      <c r="C1798" s="31" t="s">
        <v>934</v>
      </c>
      <c r="D1798" s="31" t="s">
        <v>936</v>
      </c>
      <c r="E1798" s="31"/>
      <c r="F1798" s="83">
        <f>F1800</f>
        <v>10327.6</v>
      </c>
      <c r="G1798" s="83">
        <f>G1800</f>
        <v>7731.2</v>
      </c>
      <c r="H1798" s="258">
        <f t="shared" si="202"/>
        <v>0.74859599519733522</v>
      </c>
      <c r="I1798" s="228"/>
      <c r="J1798" s="228"/>
      <c r="K1798" s="228"/>
      <c r="L1798"/>
      <c r="M1798"/>
    </row>
    <row r="1799" spans="1:13" s="5" customFormat="1" x14ac:dyDescent="0.2">
      <c r="A1799" s="36" t="s">
        <v>821</v>
      </c>
      <c r="B1799" s="31" t="s">
        <v>802</v>
      </c>
      <c r="C1799" s="31" t="s">
        <v>934</v>
      </c>
      <c r="D1799" s="31" t="s">
        <v>936</v>
      </c>
      <c r="E1799" s="31" t="s">
        <v>137</v>
      </c>
      <c r="F1799" s="83">
        <f>F1800</f>
        <v>10327.6</v>
      </c>
      <c r="G1799" s="83">
        <f>G1800</f>
        <v>7731.2</v>
      </c>
      <c r="H1799" s="258">
        <f t="shared" si="202"/>
        <v>0.74859599519733522</v>
      </c>
      <c r="I1799" s="228"/>
      <c r="J1799" s="228"/>
      <c r="K1799" s="228"/>
      <c r="L1799"/>
      <c r="M1799"/>
    </row>
    <row r="1800" spans="1:13" s="5" customFormat="1" x14ac:dyDescent="0.2">
      <c r="A1800" s="36" t="s">
        <v>825</v>
      </c>
      <c r="B1800" s="31" t="s">
        <v>802</v>
      </c>
      <c r="C1800" s="31" t="s">
        <v>934</v>
      </c>
      <c r="D1800" s="31" t="s">
        <v>936</v>
      </c>
      <c r="E1800" s="31" t="s">
        <v>826</v>
      </c>
      <c r="F1800" s="176">
        <f>11075.6-938-360+550</f>
        <v>10327.6</v>
      </c>
      <c r="G1800" s="176">
        <v>7731.2</v>
      </c>
      <c r="H1800" s="258">
        <f t="shared" si="202"/>
        <v>0.74859599519733522</v>
      </c>
      <c r="I1800" s="228"/>
      <c r="J1800" s="228"/>
      <c r="K1800" s="228"/>
      <c r="L1800"/>
      <c r="M1800"/>
    </row>
    <row r="1801" spans="1:13" s="5" customFormat="1" ht="31.5" hidden="1" x14ac:dyDescent="0.2">
      <c r="A1801" s="30" t="s">
        <v>937</v>
      </c>
      <c r="B1801" s="31" t="s">
        <v>802</v>
      </c>
      <c r="C1801" s="31" t="s">
        <v>934</v>
      </c>
      <c r="D1801" s="31" t="s">
        <v>938</v>
      </c>
      <c r="E1801" s="31"/>
      <c r="F1801" s="83">
        <f>F1803</f>
        <v>0</v>
      </c>
      <c r="G1801" s="83">
        <f>G1803</f>
        <v>0</v>
      </c>
      <c r="H1801" s="258" t="e">
        <f t="shared" si="202"/>
        <v>#DIV/0!</v>
      </c>
      <c r="I1801" s="228"/>
      <c r="J1801" s="228"/>
      <c r="K1801" s="228"/>
      <c r="L1801"/>
      <c r="M1801"/>
    </row>
    <row r="1802" spans="1:13" s="5" customFormat="1" hidden="1" x14ac:dyDescent="0.2">
      <c r="A1802" s="36" t="s">
        <v>821</v>
      </c>
      <c r="B1802" s="31" t="s">
        <v>802</v>
      </c>
      <c r="C1802" s="31" t="s">
        <v>934</v>
      </c>
      <c r="D1802" s="31" t="s">
        <v>938</v>
      </c>
      <c r="E1802" s="31" t="s">
        <v>137</v>
      </c>
      <c r="F1802" s="83">
        <f>F1803</f>
        <v>0</v>
      </c>
      <c r="G1802" s="83">
        <f>G1803</f>
        <v>0</v>
      </c>
      <c r="H1802" s="258" t="e">
        <f t="shared" si="202"/>
        <v>#DIV/0!</v>
      </c>
      <c r="I1802" s="228"/>
      <c r="J1802" s="228"/>
      <c r="K1802" s="228"/>
      <c r="L1802"/>
      <c r="M1802"/>
    </row>
    <row r="1803" spans="1:13" s="5" customFormat="1" hidden="1" x14ac:dyDescent="0.2">
      <c r="A1803" s="36" t="s">
        <v>825</v>
      </c>
      <c r="B1803" s="31" t="s">
        <v>802</v>
      </c>
      <c r="C1803" s="31" t="s">
        <v>934</v>
      </c>
      <c r="D1803" s="31" t="s">
        <v>938</v>
      </c>
      <c r="E1803" s="31" t="s">
        <v>826</v>
      </c>
      <c r="F1803" s="83"/>
      <c r="G1803" s="83"/>
      <c r="H1803" s="258" t="e">
        <f t="shared" si="202"/>
        <v>#DIV/0!</v>
      </c>
      <c r="I1803" s="228"/>
      <c r="J1803" s="228"/>
      <c r="K1803" s="228"/>
      <c r="L1803"/>
      <c r="M1803"/>
    </row>
    <row r="1804" spans="1:13" s="5" customFormat="1" ht="202.9" hidden="1" customHeight="1" x14ac:dyDescent="0.2">
      <c r="A1804" s="219" t="s">
        <v>939</v>
      </c>
      <c r="B1804" s="31" t="s">
        <v>802</v>
      </c>
      <c r="C1804" s="31" t="s">
        <v>934</v>
      </c>
      <c r="D1804" s="31" t="s">
        <v>940</v>
      </c>
      <c r="E1804" s="31"/>
      <c r="F1804" s="83">
        <f>F1805</f>
        <v>0</v>
      </c>
      <c r="G1804" s="83">
        <f>G1805</f>
        <v>0</v>
      </c>
      <c r="H1804" s="258" t="e">
        <f t="shared" si="202"/>
        <v>#DIV/0!</v>
      </c>
      <c r="I1804" s="228"/>
      <c r="J1804" s="228"/>
      <c r="K1804" s="228"/>
      <c r="L1804"/>
      <c r="M1804"/>
    </row>
    <row r="1805" spans="1:13" s="5" customFormat="1" hidden="1" x14ac:dyDescent="0.2">
      <c r="A1805" s="36" t="s">
        <v>821</v>
      </c>
      <c r="B1805" s="31" t="s">
        <v>802</v>
      </c>
      <c r="C1805" s="31" t="s">
        <v>934</v>
      </c>
      <c r="D1805" s="31" t="s">
        <v>940</v>
      </c>
      <c r="E1805" s="31" t="s">
        <v>137</v>
      </c>
      <c r="F1805" s="83">
        <f>F1806</f>
        <v>0</v>
      </c>
      <c r="G1805" s="83">
        <f>G1806</f>
        <v>0</v>
      </c>
      <c r="H1805" s="258" t="e">
        <f t="shared" si="202"/>
        <v>#DIV/0!</v>
      </c>
      <c r="I1805" s="228"/>
      <c r="J1805" s="228"/>
      <c r="K1805" s="228"/>
      <c r="L1805"/>
      <c r="M1805"/>
    </row>
    <row r="1806" spans="1:13" s="5" customFormat="1" hidden="1" x14ac:dyDescent="0.2">
      <c r="A1806" s="36" t="s">
        <v>825</v>
      </c>
      <c r="B1806" s="31" t="s">
        <v>802</v>
      </c>
      <c r="C1806" s="31" t="s">
        <v>934</v>
      </c>
      <c r="D1806" s="31" t="s">
        <v>940</v>
      </c>
      <c r="E1806" s="31" t="s">
        <v>826</v>
      </c>
      <c r="F1806" s="83"/>
      <c r="G1806" s="83"/>
      <c r="H1806" s="258" t="e">
        <f t="shared" si="202"/>
        <v>#DIV/0!</v>
      </c>
      <c r="I1806" s="228"/>
      <c r="J1806" s="228"/>
      <c r="K1806" s="228"/>
      <c r="L1806"/>
      <c r="M1806"/>
    </row>
    <row r="1807" spans="1:13" s="5" customFormat="1" ht="47.25" hidden="1" x14ac:dyDescent="0.2">
      <c r="A1807" s="36" t="s">
        <v>941</v>
      </c>
      <c r="B1807" s="31" t="s">
        <v>802</v>
      </c>
      <c r="C1807" s="31" t="s">
        <v>934</v>
      </c>
      <c r="D1807" s="31" t="s">
        <v>942</v>
      </c>
      <c r="E1807" s="31"/>
      <c r="F1807" s="83">
        <f>F1808</f>
        <v>0</v>
      </c>
      <c r="G1807" s="83">
        <f>G1808</f>
        <v>0</v>
      </c>
      <c r="H1807" s="258" t="e">
        <f t="shared" si="202"/>
        <v>#DIV/0!</v>
      </c>
      <c r="I1807" s="228"/>
      <c r="J1807" s="228"/>
      <c r="K1807" s="228"/>
      <c r="L1807"/>
      <c r="M1807"/>
    </row>
    <row r="1808" spans="1:13" s="5" customFormat="1" hidden="1" x14ac:dyDescent="0.2">
      <c r="A1808" s="36" t="s">
        <v>821</v>
      </c>
      <c r="B1808" s="31" t="s">
        <v>802</v>
      </c>
      <c r="C1808" s="31" t="s">
        <v>934</v>
      </c>
      <c r="D1808" s="31" t="s">
        <v>942</v>
      </c>
      <c r="E1808" s="31" t="s">
        <v>137</v>
      </c>
      <c r="F1808" s="83">
        <f>F1809</f>
        <v>0</v>
      </c>
      <c r="G1808" s="83">
        <f>G1809</f>
        <v>0</v>
      </c>
      <c r="H1808" s="258" t="e">
        <f t="shared" si="202"/>
        <v>#DIV/0!</v>
      </c>
      <c r="I1808" s="228"/>
      <c r="J1808" s="228"/>
      <c r="K1808" s="228"/>
      <c r="L1808"/>
      <c r="M1808"/>
    </row>
    <row r="1809" spans="1:13" s="5" customFormat="1" hidden="1" x14ac:dyDescent="0.2">
      <c r="A1809" s="36" t="s">
        <v>825</v>
      </c>
      <c r="B1809" s="31" t="s">
        <v>802</v>
      </c>
      <c r="C1809" s="31" t="s">
        <v>934</v>
      </c>
      <c r="D1809" s="31" t="s">
        <v>942</v>
      </c>
      <c r="E1809" s="31" t="s">
        <v>826</v>
      </c>
      <c r="F1809" s="83"/>
      <c r="G1809" s="83"/>
      <c r="H1809" s="258" t="e">
        <f t="shared" si="202"/>
        <v>#DIV/0!</v>
      </c>
      <c r="I1809" s="228"/>
      <c r="J1809" s="228"/>
      <c r="K1809" s="228"/>
      <c r="L1809"/>
      <c r="M1809"/>
    </row>
    <row r="1810" spans="1:13" s="5" customFormat="1" ht="31.5" hidden="1" x14ac:dyDescent="0.2">
      <c r="A1810" s="36" t="s">
        <v>943</v>
      </c>
      <c r="B1810" s="31" t="s">
        <v>802</v>
      </c>
      <c r="C1810" s="31" t="s">
        <v>934</v>
      </c>
      <c r="D1810" s="31" t="s">
        <v>944</v>
      </c>
      <c r="E1810" s="31"/>
      <c r="F1810" s="83">
        <f>F1811</f>
        <v>0</v>
      </c>
      <c r="G1810" s="83">
        <f>G1811</f>
        <v>0</v>
      </c>
      <c r="H1810" s="258" t="e">
        <f t="shared" si="202"/>
        <v>#DIV/0!</v>
      </c>
      <c r="I1810" s="228"/>
      <c r="J1810" s="228"/>
      <c r="K1810" s="228"/>
      <c r="L1810"/>
      <c r="M1810"/>
    </row>
    <row r="1811" spans="1:13" s="5" customFormat="1" hidden="1" x14ac:dyDescent="0.2">
      <c r="A1811" s="36" t="s">
        <v>821</v>
      </c>
      <c r="B1811" s="31" t="s">
        <v>802</v>
      </c>
      <c r="C1811" s="31" t="s">
        <v>934</v>
      </c>
      <c r="D1811" s="31" t="s">
        <v>944</v>
      </c>
      <c r="E1811" s="31" t="s">
        <v>137</v>
      </c>
      <c r="F1811" s="83">
        <f>F1812</f>
        <v>0</v>
      </c>
      <c r="G1811" s="83">
        <f>G1812</f>
        <v>0</v>
      </c>
      <c r="H1811" s="258" t="e">
        <f t="shared" si="202"/>
        <v>#DIV/0!</v>
      </c>
      <c r="I1811" s="228"/>
      <c r="J1811" s="228"/>
      <c r="K1811" s="228"/>
      <c r="L1811"/>
      <c r="M1811"/>
    </row>
    <row r="1812" spans="1:13" s="5" customFormat="1" hidden="1" x14ac:dyDescent="0.2">
      <c r="A1812" s="36" t="s">
        <v>825</v>
      </c>
      <c r="B1812" s="31" t="s">
        <v>802</v>
      </c>
      <c r="C1812" s="31" t="s">
        <v>934</v>
      </c>
      <c r="D1812" s="31" t="s">
        <v>944</v>
      </c>
      <c r="E1812" s="31" t="s">
        <v>826</v>
      </c>
      <c r="F1812" s="83"/>
      <c r="G1812" s="83"/>
      <c r="H1812" s="258" t="e">
        <f t="shared" si="202"/>
        <v>#DIV/0!</v>
      </c>
      <c r="I1812" s="228"/>
      <c r="J1812" s="228"/>
      <c r="K1812" s="228"/>
      <c r="L1812"/>
      <c r="M1812"/>
    </row>
    <row r="1813" spans="1:13" s="5" customFormat="1" ht="31.5" hidden="1" x14ac:dyDescent="0.2">
      <c r="A1813" s="36" t="s">
        <v>945</v>
      </c>
      <c r="B1813" s="31" t="s">
        <v>802</v>
      </c>
      <c r="C1813" s="31" t="s">
        <v>934</v>
      </c>
      <c r="D1813" s="31" t="s">
        <v>946</v>
      </c>
      <c r="E1813" s="31"/>
      <c r="F1813" s="83">
        <f>F1814</f>
        <v>0</v>
      </c>
      <c r="G1813" s="83">
        <f>G1814</f>
        <v>0</v>
      </c>
      <c r="H1813" s="258" t="e">
        <f t="shared" si="202"/>
        <v>#DIV/0!</v>
      </c>
      <c r="I1813" s="228"/>
      <c r="J1813" s="228"/>
      <c r="K1813" s="228"/>
      <c r="L1813"/>
      <c r="M1813"/>
    </row>
    <row r="1814" spans="1:13" s="5" customFormat="1" hidden="1" x14ac:dyDescent="0.2">
      <c r="A1814" s="36" t="s">
        <v>821</v>
      </c>
      <c r="B1814" s="31" t="s">
        <v>802</v>
      </c>
      <c r="C1814" s="31" t="s">
        <v>934</v>
      </c>
      <c r="D1814" s="31" t="s">
        <v>946</v>
      </c>
      <c r="E1814" s="31" t="s">
        <v>137</v>
      </c>
      <c r="F1814" s="83">
        <f>F1815</f>
        <v>0</v>
      </c>
      <c r="G1814" s="83">
        <f>G1815</f>
        <v>0</v>
      </c>
      <c r="H1814" s="258" t="e">
        <f t="shared" si="202"/>
        <v>#DIV/0!</v>
      </c>
      <c r="I1814" s="228"/>
      <c r="J1814" s="228"/>
      <c r="K1814" s="228"/>
      <c r="L1814"/>
      <c r="M1814"/>
    </row>
    <row r="1815" spans="1:13" s="5" customFormat="1" hidden="1" x14ac:dyDescent="0.2">
      <c r="A1815" s="36" t="s">
        <v>825</v>
      </c>
      <c r="B1815" s="31" t="s">
        <v>802</v>
      </c>
      <c r="C1815" s="31" t="s">
        <v>934</v>
      </c>
      <c r="D1815" s="31" t="s">
        <v>946</v>
      </c>
      <c r="E1815" s="31" t="s">
        <v>826</v>
      </c>
      <c r="F1815" s="83"/>
      <c r="G1815" s="83"/>
      <c r="H1815" s="258" t="e">
        <f t="shared" si="202"/>
        <v>#DIV/0!</v>
      </c>
      <c r="I1815" s="228"/>
      <c r="J1815" s="228"/>
      <c r="K1815" s="228"/>
      <c r="L1815"/>
      <c r="M1815"/>
    </row>
    <row r="1816" spans="1:13" s="5" customFormat="1" ht="31.5" hidden="1" x14ac:dyDescent="0.2">
      <c r="A1816" s="36" t="s">
        <v>947</v>
      </c>
      <c r="B1816" s="31" t="s">
        <v>802</v>
      </c>
      <c r="C1816" s="31" t="s">
        <v>934</v>
      </c>
      <c r="D1816" s="31" t="s">
        <v>948</v>
      </c>
      <c r="E1816" s="31"/>
      <c r="F1816" s="83">
        <f>F1817</f>
        <v>0</v>
      </c>
      <c r="G1816" s="83">
        <f>G1817</f>
        <v>0</v>
      </c>
      <c r="H1816" s="258" t="e">
        <f t="shared" si="202"/>
        <v>#DIV/0!</v>
      </c>
      <c r="I1816" s="228"/>
      <c r="J1816" s="228"/>
      <c r="K1816" s="228"/>
      <c r="L1816"/>
      <c r="M1816"/>
    </row>
    <row r="1817" spans="1:13" s="2" customFormat="1" hidden="1" x14ac:dyDescent="0.2">
      <c r="A1817" s="36" t="s">
        <v>821</v>
      </c>
      <c r="B1817" s="31" t="s">
        <v>802</v>
      </c>
      <c r="C1817" s="31" t="s">
        <v>934</v>
      </c>
      <c r="D1817" s="31" t="s">
        <v>948</v>
      </c>
      <c r="E1817" s="31" t="s">
        <v>137</v>
      </c>
      <c r="F1817" s="83">
        <f>F1818</f>
        <v>0</v>
      </c>
      <c r="G1817" s="83">
        <f>G1818</f>
        <v>0</v>
      </c>
      <c r="H1817" s="258" t="e">
        <f t="shared" si="202"/>
        <v>#DIV/0!</v>
      </c>
      <c r="I1817" s="228"/>
      <c r="J1817" s="228"/>
      <c r="K1817" s="228"/>
      <c r="L1817"/>
      <c r="M1817"/>
    </row>
    <row r="1818" spans="1:13" s="2" customFormat="1" hidden="1" x14ac:dyDescent="0.2">
      <c r="A1818" s="36" t="s">
        <v>825</v>
      </c>
      <c r="B1818" s="31" t="s">
        <v>802</v>
      </c>
      <c r="C1818" s="31" t="s">
        <v>934</v>
      </c>
      <c r="D1818" s="31" t="s">
        <v>948</v>
      </c>
      <c r="E1818" s="31" t="s">
        <v>826</v>
      </c>
      <c r="F1818" s="83"/>
      <c r="G1818" s="83"/>
      <c r="H1818" s="258" t="e">
        <f t="shared" si="202"/>
        <v>#DIV/0!</v>
      </c>
      <c r="I1818" s="228"/>
      <c r="J1818" s="228"/>
      <c r="K1818" s="228"/>
      <c r="L1818"/>
      <c r="M1818"/>
    </row>
    <row r="1819" spans="1:13" s="2" customFormat="1" ht="63" hidden="1" x14ac:dyDescent="0.2">
      <c r="A1819" s="36" t="s">
        <v>857</v>
      </c>
      <c r="B1819" s="31" t="s">
        <v>802</v>
      </c>
      <c r="C1819" s="31" t="s">
        <v>934</v>
      </c>
      <c r="D1819" s="31" t="s">
        <v>858</v>
      </c>
      <c r="E1819" s="31"/>
      <c r="F1819" s="83">
        <f>F1820</f>
        <v>0</v>
      </c>
      <c r="G1819" s="83">
        <f>G1820</f>
        <v>0</v>
      </c>
      <c r="H1819" s="258" t="e">
        <f t="shared" si="202"/>
        <v>#DIV/0!</v>
      </c>
      <c r="I1819" s="228"/>
      <c r="J1819" s="228"/>
      <c r="K1819" s="228"/>
      <c r="L1819"/>
      <c r="M1819"/>
    </row>
    <row r="1820" spans="1:13" s="2" customFormat="1" hidden="1" x14ac:dyDescent="0.2">
      <c r="A1820" s="36" t="s">
        <v>821</v>
      </c>
      <c r="B1820" s="31" t="s">
        <v>802</v>
      </c>
      <c r="C1820" s="31" t="s">
        <v>934</v>
      </c>
      <c r="D1820" s="31" t="s">
        <v>858</v>
      </c>
      <c r="E1820" s="31" t="s">
        <v>137</v>
      </c>
      <c r="F1820" s="83">
        <f>F1821</f>
        <v>0</v>
      </c>
      <c r="G1820" s="83">
        <f>G1821</f>
        <v>0</v>
      </c>
      <c r="H1820" s="258" t="e">
        <f t="shared" si="202"/>
        <v>#DIV/0!</v>
      </c>
      <c r="I1820" s="228"/>
      <c r="J1820" s="228"/>
      <c r="K1820" s="228"/>
      <c r="L1820"/>
      <c r="M1820"/>
    </row>
    <row r="1821" spans="1:13" s="2" customFormat="1" hidden="1" x14ac:dyDescent="0.2">
      <c r="A1821" s="36" t="s">
        <v>825</v>
      </c>
      <c r="B1821" s="31" t="s">
        <v>802</v>
      </c>
      <c r="C1821" s="31" t="s">
        <v>934</v>
      </c>
      <c r="D1821" s="31" t="s">
        <v>858</v>
      </c>
      <c r="E1821" s="31" t="s">
        <v>826</v>
      </c>
      <c r="F1821" s="83">
        <v>0</v>
      </c>
      <c r="G1821" s="83">
        <v>0</v>
      </c>
      <c r="H1821" s="258" t="e">
        <f t="shared" si="202"/>
        <v>#DIV/0!</v>
      </c>
      <c r="I1821" s="228"/>
      <c r="J1821" s="228"/>
      <c r="K1821" s="228"/>
      <c r="L1821"/>
      <c r="M1821"/>
    </row>
    <row r="1822" spans="1:13" s="2" customFormat="1" ht="31.5" hidden="1" x14ac:dyDescent="0.2">
      <c r="A1822" s="36" t="s">
        <v>949</v>
      </c>
      <c r="B1822" s="31" t="s">
        <v>802</v>
      </c>
      <c r="C1822" s="31" t="s">
        <v>934</v>
      </c>
      <c r="D1822" s="31" t="s">
        <v>950</v>
      </c>
      <c r="E1822" s="31"/>
      <c r="F1822" s="83">
        <f t="shared" ref="F1822:F1837" si="206">F1612</f>
        <v>0</v>
      </c>
      <c r="G1822" s="83">
        <f t="shared" ref="G1822" si="207">G1612</f>
        <v>0</v>
      </c>
      <c r="H1822" s="258" t="e">
        <f t="shared" si="202"/>
        <v>#DIV/0!</v>
      </c>
      <c r="I1822" s="228"/>
      <c r="J1822" s="228"/>
      <c r="K1822" s="228"/>
      <c r="L1822"/>
      <c r="M1822"/>
    </row>
    <row r="1823" spans="1:13" s="2" customFormat="1" hidden="1" x14ac:dyDescent="0.2">
      <c r="A1823" s="36" t="s">
        <v>821</v>
      </c>
      <c r="B1823" s="31" t="s">
        <v>802</v>
      </c>
      <c r="C1823" s="31" t="s">
        <v>934</v>
      </c>
      <c r="D1823" s="31" t="s">
        <v>950</v>
      </c>
      <c r="E1823" s="31" t="s">
        <v>137</v>
      </c>
      <c r="F1823" s="83">
        <f t="shared" si="206"/>
        <v>0</v>
      </c>
      <c r="G1823" s="83">
        <f t="shared" ref="G1823" si="208">G1613</f>
        <v>0</v>
      </c>
      <c r="H1823" s="258" t="e">
        <f t="shared" si="202"/>
        <v>#DIV/0!</v>
      </c>
      <c r="I1823" s="228"/>
      <c r="J1823" s="228"/>
      <c r="K1823" s="228"/>
      <c r="L1823"/>
      <c r="M1823"/>
    </row>
    <row r="1824" spans="1:13" s="2" customFormat="1" hidden="1" x14ac:dyDescent="0.2">
      <c r="A1824" s="36" t="s">
        <v>825</v>
      </c>
      <c r="B1824" s="31" t="s">
        <v>802</v>
      </c>
      <c r="C1824" s="31" t="s">
        <v>934</v>
      </c>
      <c r="D1824" s="31" t="s">
        <v>950</v>
      </c>
      <c r="E1824" s="31" t="s">
        <v>826</v>
      </c>
      <c r="F1824" s="83">
        <f t="shared" si="206"/>
        <v>0</v>
      </c>
      <c r="G1824" s="83">
        <f t="shared" ref="G1824" si="209">G1614</f>
        <v>0</v>
      </c>
      <c r="H1824" s="258" t="e">
        <f t="shared" si="202"/>
        <v>#DIV/0!</v>
      </c>
      <c r="I1824" s="228"/>
      <c r="J1824" s="228"/>
      <c r="K1824" s="228"/>
      <c r="L1824"/>
      <c r="M1824"/>
    </row>
    <row r="1825" spans="1:13" s="2" customFormat="1" ht="31.15" customHeight="1" x14ac:dyDescent="0.2">
      <c r="A1825" s="36" t="s">
        <v>951</v>
      </c>
      <c r="B1825" s="31" t="s">
        <v>802</v>
      </c>
      <c r="C1825" s="31" t="s">
        <v>934</v>
      </c>
      <c r="D1825" s="31" t="s">
        <v>952</v>
      </c>
      <c r="E1825" s="31"/>
      <c r="F1825" s="83">
        <f>F1826</f>
        <v>684.7</v>
      </c>
      <c r="G1825" s="83">
        <f>G1826</f>
        <v>684.7</v>
      </c>
      <c r="H1825" s="258">
        <f t="shared" si="202"/>
        <v>1</v>
      </c>
      <c r="I1825" s="228"/>
      <c r="J1825" s="228"/>
      <c r="K1825" s="228"/>
      <c r="L1825"/>
      <c r="M1825"/>
    </row>
    <row r="1826" spans="1:13" s="2" customFormat="1" x14ac:dyDescent="0.2">
      <c r="A1826" s="36" t="s">
        <v>821</v>
      </c>
      <c r="B1826" s="31" t="s">
        <v>802</v>
      </c>
      <c r="C1826" s="31" t="s">
        <v>934</v>
      </c>
      <c r="D1826" s="31" t="s">
        <v>952</v>
      </c>
      <c r="E1826" s="31" t="s">
        <v>137</v>
      </c>
      <c r="F1826" s="83">
        <f>F1827</f>
        <v>684.7</v>
      </c>
      <c r="G1826" s="83">
        <f>G1827</f>
        <v>684.7</v>
      </c>
      <c r="H1826" s="258">
        <f t="shared" si="202"/>
        <v>1</v>
      </c>
      <c r="I1826" s="228"/>
      <c r="J1826" s="228"/>
      <c r="K1826" s="228"/>
      <c r="L1826"/>
      <c r="M1826"/>
    </row>
    <row r="1827" spans="1:13" s="2" customFormat="1" x14ac:dyDescent="0.2">
      <c r="A1827" s="36" t="s">
        <v>825</v>
      </c>
      <c r="B1827" s="31" t="s">
        <v>802</v>
      </c>
      <c r="C1827" s="31" t="s">
        <v>934</v>
      </c>
      <c r="D1827" s="31" t="s">
        <v>952</v>
      </c>
      <c r="E1827" s="31" t="s">
        <v>826</v>
      </c>
      <c r="F1827" s="83">
        <f>1000-315.3</f>
        <v>684.7</v>
      </c>
      <c r="G1827" s="83">
        <f>1000-315.3</f>
        <v>684.7</v>
      </c>
      <c r="H1827" s="258">
        <f t="shared" si="202"/>
        <v>1</v>
      </c>
      <c r="I1827" s="228"/>
      <c r="J1827" s="228"/>
      <c r="K1827" s="228"/>
      <c r="L1827"/>
      <c r="M1827"/>
    </row>
    <row r="1828" spans="1:13" s="2" customFormat="1" ht="47.25" hidden="1" x14ac:dyDescent="0.2">
      <c r="A1828" s="36" t="s">
        <v>953</v>
      </c>
      <c r="B1828" s="31" t="s">
        <v>802</v>
      </c>
      <c r="C1828" s="31" t="s">
        <v>934</v>
      </c>
      <c r="D1828" s="31" t="s">
        <v>954</v>
      </c>
      <c r="E1828" s="31"/>
      <c r="F1828" s="83">
        <f t="shared" si="206"/>
        <v>33.5</v>
      </c>
      <c r="G1828" s="83">
        <f t="shared" ref="G1828" si="210">G1618</f>
        <v>33.5</v>
      </c>
      <c r="H1828" s="258">
        <f t="shared" si="202"/>
        <v>1</v>
      </c>
      <c r="I1828" s="228"/>
      <c r="J1828" s="228"/>
      <c r="K1828" s="228"/>
      <c r="L1828"/>
      <c r="M1828"/>
    </row>
    <row r="1829" spans="1:13" s="2" customFormat="1" hidden="1" x14ac:dyDescent="0.2">
      <c r="A1829" s="36" t="s">
        <v>821</v>
      </c>
      <c r="B1829" s="31" t="s">
        <v>802</v>
      </c>
      <c r="C1829" s="31" t="s">
        <v>934</v>
      </c>
      <c r="D1829" s="31" t="s">
        <v>954</v>
      </c>
      <c r="E1829" s="31" t="s">
        <v>137</v>
      </c>
      <c r="F1829" s="83">
        <f t="shared" si="206"/>
        <v>33.5</v>
      </c>
      <c r="G1829" s="83">
        <f t="shared" ref="G1829" si="211">G1619</f>
        <v>33.5</v>
      </c>
      <c r="H1829" s="258">
        <f t="shared" si="202"/>
        <v>1</v>
      </c>
      <c r="I1829" s="228"/>
      <c r="J1829" s="228"/>
      <c r="K1829" s="228"/>
      <c r="L1829"/>
      <c r="M1829"/>
    </row>
    <row r="1830" spans="1:13" s="2" customFormat="1" hidden="1" x14ac:dyDescent="0.2">
      <c r="A1830" s="36" t="s">
        <v>825</v>
      </c>
      <c r="B1830" s="31" t="s">
        <v>802</v>
      </c>
      <c r="C1830" s="31" t="s">
        <v>934</v>
      </c>
      <c r="D1830" s="31" t="s">
        <v>954</v>
      </c>
      <c r="E1830" s="31" t="s">
        <v>826</v>
      </c>
      <c r="F1830" s="83">
        <f t="shared" si="206"/>
        <v>33.5</v>
      </c>
      <c r="G1830" s="83">
        <f t="shared" ref="G1830" si="212">G1620</f>
        <v>33.5</v>
      </c>
      <c r="H1830" s="258">
        <f t="shared" si="202"/>
        <v>1</v>
      </c>
      <c r="I1830" s="228"/>
      <c r="J1830" s="228"/>
      <c r="K1830" s="228"/>
      <c r="L1830"/>
      <c r="M1830"/>
    </row>
    <row r="1831" spans="1:13" s="2" customFormat="1" ht="31.5" hidden="1" x14ac:dyDescent="0.2">
      <c r="A1831" s="36" t="s">
        <v>955</v>
      </c>
      <c r="B1831" s="31" t="s">
        <v>802</v>
      </c>
      <c r="C1831" s="31" t="s">
        <v>934</v>
      </c>
      <c r="D1831" s="31" t="s">
        <v>956</v>
      </c>
      <c r="E1831" s="31"/>
      <c r="F1831" s="83">
        <f t="shared" si="206"/>
        <v>0</v>
      </c>
      <c r="G1831" s="83">
        <f t="shared" ref="G1831" si="213">G1621</f>
        <v>0</v>
      </c>
      <c r="H1831" s="258" t="e">
        <f t="shared" si="202"/>
        <v>#DIV/0!</v>
      </c>
      <c r="I1831" s="228"/>
      <c r="J1831" s="228"/>
      <c r="K1831" s="228"/>
      <c r="L1831"/>
      <c r="M1831"/>
    </row>
    <row r="1832" spans="1:13" s="177" customFormat="1" hidden="1" x14ac:dyDescent="0.2">
      <c r="A1832" s="36" t="s">
        <v>821</v>
      </c>
      <c r="B1832" s="31" t="s">
        <v>802</v>
      </c>
      <c r="C1832" s="31" t="s">
        <v>934</v>
      </c>
      <c r="D1832" s="31" t="s">
        <v>956</v>
      </c>
      <c r="E1832" s="31" t="s">
        <v>137</v>
      </c>
      <c r="F1832" s="83">
        <f t="shared" si="206"/>
        <v>0</v>
      </c>
      <c r="G1832" s="83">
        <f t="shared" ref="G1832" si="214">G1622</f>
        <v>0</v>
      </c>
      <c r="H1832" s="258" t="e">
        <f t="shared" si="202"/>
        <v>#DIV/0!</v>
      </c>
      <c r="I1832" s="228"/>
      <c r="J1832" s="228"/>
      <c r="K1832" s="228"/>
      <c r="L1832"/>
      <c r="M1832"/>
    </row>
    <row r="1833" spans="1:13" s="2" customFormat="1" hidden="1" x14ac:dyDescent="0.2">
      <c r="A1833" s="36" t="s">
        <v>825</v>
      </c>
      <c r="B1833" s="31" t="s">
        <v>802</v>
      </c>
      <c r="C1833" s="31" t="s">
        <v>934</v>
      </c>
      <c r="D1833" s="31" t="s">
        <v>956</v>
      </c>
      <c r="E1833" s="31" t="s">
        <v>826</v>
      </c>
      <c r="F1833" s="83">
        <f t="shared" si="206"/>
        <v>0</v>
      </c>
      <c r="G1833" s="83">
        <f t="shared" ref="G1833" si="215">G1623</f>
        <v>0</v>
      </c>
      <c r="H1833" s="258" t="e">
        <f t="shared" ref="H1833:H1862" si="216">G1833/F1833</f>
        <v>#DIV/0!</v>
      </c>
      <c r="I1833" s="228"/>
      <c r="J1833" s="228"/>
      <c r="K1833" s="228"/>
      <c r="L1833"/>
      <c r="M1833"/>
    </row>
    <row r="1834" spans="1:13" s="2" customFormat="1" ht="47.25" hidden="1" x14ac:dyDescent="0.2">
      <c r="A1834" s="36" t="s">
        <v>957</v>
      </c>
      <c r="B1834" s="31" t="s">
        <v>802</v>
      </c>
      <c r="C1834" s="31" t="s">
        <v>934</v>
      </c>
      <c r="D1834" s="31" t="s">
        <v>958</v>
      </c>
      <c r="E1834" s="31"/>
      <c r="F1834" s="83">
        <f t="shared" si="206"/>
        <v>0</v>
      </c>
      <c r="G1834" s="83">
        <f t="shared" ref="G1834" si="217">G1624</f>
        <v>0</v>
      </c>
      <c r="H1834" s="258" t="e">
        <f t="shared" si="216"/>
        <v>#DIV/0!</v>
      </c>
      <c r="I1834" s="228"/>
      <c r="J1834" s="228"/>
      <c r="K1834" s="228"/>
      <c r="L1834"/>
      <c r="M1834"/>
    </row>
    <row r="1835" spans="1:13" s="2" customFormat="1" hidden="1" x14ac:dyDescent="0.2">
      <c r="A1835" s="36" t="s">
        <v>821</v>
      </c>
      <c r="B1835" s="31" t="s">
        <v>802</v>
      </c>
      <c r="C1835" s="31" t="s">
        <v>934</v>
      </c>
      <c r="D1835" s="31" t="s">
        <v>958</v>
      </c>
      <c r="E1835" s="31" t="s">
        <v>137</v>
      </c>
      <c r="F1835" s="83">
        <f t="shared" si="206"/>
        <v>0</v>
      </c>
      <c r="G1835" s="83">
        <f t="shared" ref="G1835" si="218">G1625</f>
        <v>0</v>
      </c>
      <c r="H1835" s="258" t="e">
        <f t="shared" si="216"/>
        <v>#DIV/0!</v>
      </c>
      <c r="I1835" s="228"/>
      <c r="J1835" s="228"/>
      <c r="K1835" s="228"/>
      <c r="L1835"/>
      <c r="M1835"/>
    </row>
    <row r="1836" spans="1:13" s="2" customFormat="1" hidden="1" x14ac:dyDescent="0.2">
      <c r="A1836" s="36" t="s">
        <v>825</v>
      </c>
      <c r="B1836" s="31" t="s">
        <v>802</v>
      </c>
      <c r="C1836" s="31" t="s">
        <v>934</v>
      </c>
      <c r="D1836" s="31" t="s">
        <v>958</v>
      </c>
      <c r="E1836" s="31" t="s">
        <v>826</v>
      </c>
      <c r="F1836" s="83">
        <f t="shared" si="206"/>
        <v>0</v>
      </c>
      <c r="G1836" s="83">
        <f t="shared" ref="G1836" si="219">G1626</f>
        <v>0</v>
      </c>
      <c r="H1836" s="258" t="e">
        <f t="shared" si="216"/>
        <v>#DIV/0!</v>
      </c>
      <c r="I1836" s="228"/>
      <c r="J1836" s="228"/>
      <c r="K1836" s="228"/>
      <c r="L1836"/>
      <c r="M1836"/>
    </row>
    <row r="1837" spans="1:13" s="2" customFormat="1" ht="220.5" hidden="1" x14ac:dyDescent="0.2">
      <c r="A1837" s="250" t="s">
        <v>959</v>
      </c>
      <c r="B1837" s="100" t="s">
        <v>802</v>
      </c>
      <c r="C1837" s="100" t="s">
        <v>934</v>
      </c>
      <c r="D1837" s="100" t="s">
        <v>940</v>
      </c>
      <c r="E1837" s="100"/>
      <c r="F1837" s="83">
        <f t="shared" si="206"/>
        <v>0</v>
      </c>
      <c r="G1837" s="83">
        <f t="shared" ref="G1837" si="220">G1627</f>
        <v>0</v>
      </c>
      <c r="H1837" s="258" t="e">
        <f t="shared" si="216"/>
        <v>#DIV/0!</v>
      </c>
      <c r="I1837" s="228"/>
      <c r="J1837" s="228"/>
      <c r="K1837" s="228"/>
      <c r="L1837"/>
      <c r="M1837"/>
    </row>
    <row r="1838" spans="1:13" s="28" customFormat="1" hidden="1" x14ac:dyDescent="0.2">
      <c r="A1838" s="36" t="s">
        <v>821</v>
      </c>
      <c r="B1838" s="31" t="s">
        <v>802</v>
      </c>
      <c r="C1838" s="31" t="s">
        <v>934</v>
      </c>
      <c r="D1838" s="31" t="s">
        <v>940</v>
      </c>
      <c r="E1838" s="31" t="s">
        <v>137</v>
      </c>
      <c r="F1838" s="83">
        <f t="shared" ref="F1838:F1841" si="221">F1628</f>
        <v>0</v>
      </c>
      <c r="G1838" s="83">
        <f t="shared" ref="G1838" si="222">G1628</f>
        <v>0</v>
      </c>
      <c r="H1838" s="258" t="e">
        <f t="shared" si="216"/>
        <v>#DIV/0!</v>
      </c>
      <c r="I1838" s="228"/>
      <c r="J1838" s="228"/>
      <c r="K1838" s="228"/>
      <c r="L1838"/>
      <c r="M1838"/>
    </row>
    <row r="1839" spans="1:13" s="96" customFormat="1" hidden="1" x14ac:dyDescent="0.2">
      <c r="A1839" s="36" t="s">
        <v>825</v>
      </c>
      <c r="B1839" s="31" t="s">
        <v>802</v>
      </c>
      <c r="C1839" s="31" t="s">
        <v>934</v>
      </c>
      <c r="D1839" s="31" t="s">
        <v>940</v>
      </c>
      <c r="E1839" s="31" t="s">
        <v>826</v>
      </c>
      <c r="F1839" s="83">
        <f t="shared" si="221"/>
        <v>0</v>
      </c>
      <c r="G1839" s="83">
        <f t="shared" ref="G1839" si="223">G1629</f>
        <v>0</v>
      </c>
      <c r="H1839" s="258" t="e">
        <f t="shared" si="216"/>
        <v>#DIV/0!</v>
      </c>
      <c r="I1839" s="228"/>
      <c r="J1839" s="228"/>
      <c r="K1839" s="228"/>
      <c r="L1839"/>
      <c r="M1839"/>
    </row>
    <row r="1840" spans="1:13" s="113" customFormat="1" ht="31.5" hidden="1" x14ac:dyDescent="0.2">
      <c r="A1840" s="36" t="s">
        <v>960</v>
      </c>
      <c r="B1840" s="31" t="s">
        <v>802</v>
      </c>
      <c r="C1840" s="31" t="s">
        <v>934</v>
      </c>
      <c r="D1840" s="31" t="s">
        <v>961</v>
      </c>
      <c r="E1840" s="31"/>
      <c r="F1840" s="83">
        <f t="shared" si="221"/>
        <v>0</v>
      </c>
      <c r="G1840" s="83">
        <f t="shared" ref="G1840" si="224">G1630</f>
        <v>0</v>
      </c>
      <c r="H1840" s="258" t="e">
        <f t="shared" si="216"/>
        <v>#DIV/0!</v>
      </c>
      <c r="I1840" s="228"/>
      <c r="J1840" s="228"/>
      <c r="K1840" s="228"/>
      <c r="L1840"/>
      <c r="M1840"/>
    </row>
    <row r="1841" spans="1:13" s="113" customFormat="1" hidden="1" x14ac:dyDescent="0.2">
      <c r="A1841" s="36" t="s">
        <v>821</v>
      </c>
      <c r="B1841" s="31" t="s">
        <v>802</v>
      </c>
      <c r="C1841" s="31" t="s">
        <v>934</v>
      </c>
      <c r="D1841" s="31" t="s">
        <v>961</v>
      </c>
      <c r="E1841" s="31" t="s">
        <v>137</v>
      </c>
      <c r="F1841" s="83">
        <f t="shared" si="221"/>
        <v>0</v>
      </c>
      <c r="G1841" s="83">
        <f t="shared" ref="G1841" si="225">G1631</f>
        <v>0</v>
      </c>
      <c r="H1841" s="258" t="e">
        <f t="shared" si="216"/>
        <v>#DIV/0!</v>
      </c>
      <c r="I1841" s="228"/>
      <c r="J1841" s="228"/>
      <c r="K1841" s="228"/>
      <c r="L1841"/>
      <c r="M1841"/>
    </row>
    <row r="1842" spans="1:13" s="28" customFormat="1" hidden="1" x14ac:dyDescent="0.2">
      <c r="A1842" s="36" t="s">
        <v>825</v>
      </c>
      <c r="B1842" s="31" t="s">
        <v>802</v>
      </c>
      <c r="C1842" s="31" t="s">
        <v>934</v>
      </c>
      <c r="D1842" s="31" t="s">
        <v>961</v>
      </c>
      <c r="E1842" s="31" t="s">
        <v>826</v>
      </c>
      <c r="F1842" s="83">
        <f t="shared" ref="F1842" si="226">F1638</f>
        <v>0</v>
      </c>
      <c r="G1842" s="83">
        <f t="shared" ref="G1842" si="227">G1638</f>
        <v>0</v>
      </c>
      <c r="H1842" s="258" t="e">
        <f t="shared" si="216"/>
        <v>#DIV/0!</v>
      </c>
      <c r="I1842" s="228"/>
      <c r="J1842" s="228"/>
      <c r="K1842" s="228"/>
      <c r="L1842"/>
      <c r="M1842"/>
    </row>
    <row r="1843" spans="1:13" s="27" customFormat="1" x14ac:dyDescent="0.2">
      <c r="A1843" s="23" t="s">
        <v>197</v>
      </c>
      <c r="B1843" s="15" t="s">
        <v>802</v>
      </c>
      <c r="C1843" s="15" t="s">
        <v>934</v>
      </c>
      <c r="D1843" s="15" t="s">
        <v>198</v>
      </c>
      <c r="E1843" s="15"/>
      <c r="F1843" s="80">
        <f>F1844+F1847+F1850+F1853+F1856</f>
        <v>912.89999999999986</v>
      </c>
      <c r="G1843" s="80">
        <f>G1844+G1847+G1850+G1853+G1856</f>
        <v>912.89999999999986</v>
      </c>
      <c r="H1843" s="258">
        <f t="shared" si="216"/>
        <v>1</v>
      </c>
      <c r="I1843" s="228"/>
      <c r="J1843" s="228"/>
      <c r="K1843" s="228"/>
      <c r="L1843"/>
      <c r="M1843"/>
    </row>
    <row r="1844" spans="1:13" s="44" customFormat="1" ht="63" x14ac:dyDescent="0.2">
      <c r="A1844" s="107" t="s">
        <v>962</v>
      </c>
      <c r="B1844" s="108" t="s">
        <v>802</v>
      </c>
      <c r="C1844" s="108" t="s">
        <v>934</v>
      </c>
      <c r="D1844" s="108" t="s">
        <v>200</v>
      </c>
      <c r="E1844" s="109"/>
      <c r="F1844" s="110">
        <f>F1845</f>
        <v>600</v>
      </c>
      <c r="G1844" s="110">
        <f>G1845</f>
        <v>600</v>
      </c>
      <c r="H1844" s="258">
        <f t="shared" si="216"/>
        <v>1</v>
      </c>
      <c r="I1844" s="228"/>
      <c r="J1844" s="228"/>
      <c r="K1844" s="228"/>
      <c r="L1844"/>
      <c r="M1844"/>
    </row>
    <row r="1845" spans="1:13" s="44" customFormat="1" x14ac:dyDescent="0.2">
      <c r="A1845" s="30" t="s">
        <v>821</v>
      </c>
      <c r="B1845" s="100" t="s">
        <v>802</v>
      </c>
      <c r="C1845" s="100" t="s">
        <v>934</v>
      </c>
      <c r="D1845" s="100" t="s">
        <v>200</v>
      </c>
      <c r="E1845" s="101">
        <v>500</v>
      </c>
      <c r="F1845" s="97">
        <f>F1846</f>
        <v>600</v>
      </c>
      <c r="G1845" s="97">
        <f>G1846</f>
        <v>600</v>
      </c>
      <c r="H1845" s="258">
        <f t="shared" si="216"/>
        <v>1</v>
      </c>
      <c r="I1845" s="228"/>
      <c r="J1845" s="228"/>
      <c r="K1845" s="228"/>
      <c r="L1845"/>
      <c r="M1845"/>
    </row>
    <row r="1846" spans="1:13" s="27" customFormat="1" x14ac:dyDescent="0.2">
      <c r="A1846" s="30" t="s">
        <v>825</v>
      </c>
      <c r="B1846" s="100" t="s">
        <v>802</v>
      </c>
      <c r="C1846" s="100" t="s">
        <v>934</v>
      </c>
      <c r="D1846" s="100" t="s">
        <v>200</v>
      </c>
      <c r="E1846" s="101">
        <v>540</v>
      </c>
      <c r="F1846" s="97">
        <v>600</v>
      </c>
      <c r="G1846" s="97">
        <v>600</v>
      </c>
      <c r="H1846" s="258">
        <f t="shared" si="216"/>
        <v>1</v>
      </c>
      <c r="I1846" s="228"/>
      <c r="J1846" s="228"/>
      <c r="K1846" s="228"/>
      <c r="L1846"/>
      <c r="M1846"/>
    </row>
    <row r="1847" spans="1:13" s="44" customFormat="1" ht="63" x14ac:dyDescent="0.2">
      <c r="A1847" s="105" t="s">
        <v>963</v>
      </c>
      <c r="B1847" s="40" t="s">
        <v>802</v>
      </c>
      <c r="C1847" s="40" t="s">
        <v>934</v>
      </c>
      <c r="D1847" s="40" t="s">
        <v>203</v>
      </c>
      <c r="E1847" s="106"/>
      <c r="F1847" s="87">
        <f>F1848</f>
        <v>41.9</v>
      </c>
      <c r="G1847" s="87">
        <f>G1848</f>
        <v>41.9</v>
      </c>
      <c r="H1847" s="258">
        <f t="shared" si="216"/>
        <v>1</v>
      </c>
      <c r="I1847" s="228"/>
      <c r="J1847" s="228"/>
      <c r="K1847" s="228"/>
      <c r="L1847"/>
      <c r="M1847"/>
    </row>
    <row r="1848" spans="1:13" s="4" customFormat="1" x14ac:dyDescent="0.2">
      <c r="A1848" s="30" t="s">
        <v>821</v>
      </c>
      <c r="B1848" s="31" t="s">
        <v>802</v>
      </c>
      <c r="C1848" s="31" t="s">
        <v>934</v>
      </c>
      <c r="D1848" s="31" t="s">
        <v>203</v>
      </c>
      <c r="E1848" s="32">
        <v>500</v>
      </c>
      <c r="F1848" s="83">
        <f>F1849</f>
        <v>41.9</v>
      </c>
      <c r="G1848" s="83">
        <f>G1849</f>
        <v>41.9</v>
      </c>
      <c r="H1848" s="258">
        <f t="shared" si="216"/>
        <v>1</v>
      </c>
      <c r="I1848" s="228"/>
      <c r="J1848" s="228"/>
      <c r="K1848" s="228"/>
      <c r="L1848"/>
      <c r="M1848"/>
    </row>
    <row r="1849" spans="1:13" s="4" customFormat="1" x14ac:dyDescent="0.2">
      <c r="A1849" s="30" t="s">
        <v>825</v>
      </c>
      <c r="B1849" s="31" t="s">
        <v>802</v>
      </c>
      <c r="C1849" s="31" t="s">
        <v>934</v>
      </c>
      <c r="D1849" s="31" t="s">
        <v>203</v>
      </c>
      <c r="E1849" s="32">
        <v>540</v>
      </c>
      <c r="F1849" s="83">
        <v>41.9</v>
      </c>
      <c r="G1849" s="83">
        <v>41.9</v>
      </c>
      <c r="H1849" s="258">
        <f t="shared" si="216"/>
        <v>1</v>
      </c>
      <c r="I1849" s="228"/>
      <c r="J1849" s="228"/>
      <c r="K1849" s="228"/>
      <c r="L1849"/>
      <c r="M1849"/>
    </row>
    <row r="1850" spans="1:13" s="232" customFormat="1" ht="78.75" x14ac:dyDescent="0.2">
      <c r="A1850" s="171" t="s">
        <v>964</v>
      </c>
      <c r="B1850" s="40" t="s">
        <v>802</v>
      </c>
      <c r="C1850" s="40" t="s">
        <v>934</v>
      </c>
      <c r="D1850" s="40" t="s">
        <v>209</v>
      </c>
      <c r="E1850" s="106"/>
      <c r="F1850" s="87">
        <f>F1851</f>
        <v>129.19999999999999</v>
      </c>
      <c r="G1850" s="87">
        <f>G1851</f>
        <v>129.19999999999999</v>
      </c>
      <c r="H1850" s="258">
        <f t="shared" si="216"/>
        <v>1</v>
      </c>
      <c r="I1850" s="228"/>
      <c r="J1850" s="228"/>
      <c r="K1850" s="228"/>
      <c r="L1850"/>
      <c r="M1850"/>
    </row>
    <row r="1851" spans="1:13" s="4" customFormat="1" x14ac:dyDescent="0.2">
      <c r="A1851" s="30" t="s">
        <v>821</v>
      </c>
      <c r="B1851" s="31" t="s">
        <v>802</v>
      </c>
      <c r="C1851" s="31" t="s">
        <v>934</v>
      </c>
      <c r="D1851" s="31" t="s">
        <v>209</v>
      </c>
      <c r="E1851" s="32">
        <v>500</v>
      </c>
      <c r="F1851" s="83">
        <f>F1852</f>
        <v>129.19999999999999</v>
      </c>
      <c r="G1851" s="83">
        <f>G1852</f>
        <v>129.19999999999999</v>
      </c>
      <c r="H1851" s="258">
        <f t="shared" si="216"/>
        <v>1</v>
      </c>
      <c r="I1851" s="228"/>
      <c r="J1851" s="228"/>
      <c r="K1851" s="228"/>
      <c r="L1851"/>
      <c r="M1851"/>
    </row>
    <row r="1852" spans="1:13" s="4" customFormat="1" x14ac:dyDescent="0.2">
      <c r="A1852" s="30" t="s">
        <v>825</v>
      </c>
      <c r="B1852" s="31" t="s">
        <v>802</v>
      </c>
      <c r="C1852" s="31" t="s">
        <v>934</v>
      </c>
      <c r="D1852" s="31" t="s">
        <v>209</v>
      </c>
      <c r="E1852" s="32">
        <v>540</v>
      </c>
      <c r="F1852" s="83">
        <v>129.19999999999999</v>
      </c>
      <c r="G1852" s="83">
        <v>129.19999999999999</v>
      </c>
      <c r="H1852" s="258">
        <f t="shared" si="216"/>
        <v>1</v>
      </c>
      <c r="I1852" s="228"/>
      <c r="J1852" s="228"/>
      <c r="K1852" s="228"/>
      <c r="L1852"/>
      <c r="M1852"/>
    </row>
    <row r="1853" spans="1:13" s="232" customFormat="1" ht="63" x14ac:dyDescent="0.2">
      <c r="A1853" s="105" t="s">
        <v>965</v>
      </c>
      <c r="B1853" s="40" t="s">
        <v>802</v>
      </c>
      <c r="C1853" s="40" t="s">
        <v>934</v>
      </c>
      <c r="D1853" s="40" t="s">
        <v>211</v>
      </c>
      <c r="E1853" s="106"/>
      <c r="F1853" s="87">
        <f>F1854</f>
        <v>127.8</v>
      </c>
      <c r="G1853" s="87">
        <f>G1854</f>
        <v>127.8</v>
      </c>
      <c r="H1853" s="258">
        <f t="shared" si="216"/>
        <v>1</v>
      </c>
      <c r="I1853" s="228"/>
      <c r="J1853" s="228"/>
      <c r="K1853" s="228"/>
      <c r="L1853"/>
      <c r="M1853"/>
    </row>
    <row r="1854" spans="1:13" s="4" customFormat="1" x14ac:dyDescent="0.2">
      <c r="A1854" s="30" t="s">
        <v>821</v>
      </c>
      <c r="B1854" s="31" t="s">
        <v>802</v>
      </c>
      <c r="C1854" s="31" t="s">
        <v>934</v>
      </c>
      <c r="D1854" s="193" t="s">
        <v>211</v>
      </c>
      <c r="E1854" s="32">
        <v>500</v>
      </c>
      <c r="F1854" s="83">
        <f>F1855</f>
        <v>127.8</v>
      </c>
      <c r="G1854" s="83">
        <f>G1855</f>
        <v>127.8</v>
      </c>
      <c r="H1854" s="258">
        <f t="shared" si="216"/>
        <v>1</v>
      </c>
      <c r="I1854" s="228"/>
      <c r="J1854" s="228"/>
      <c r="K1854" s="228"/>
      <c r="L1854"/>
      <c r="M1854"/>
    </row>
    <row r="1855" spans="1:13" s="4" customFormat="1" x14ac:dyDescent="0.2">
      <c r="A1855" s="30" t="s">
        <v>825</v>
      </c>
      <c r="B1855" s="31" t="s">
        <v>802</v>
      </c>
      <c r="C1855" s="31" t="s">
        <v>934</v>
      </c>
      <c r="D1855" s="193" t="s">
        <v>211</v>
      </c>
      <c r="E1855" s="32">
        <v>540</v>
      </c>
      <c r="F1855" s="83">
        <v>127.8</v>
      </c>
      <c r="G1855" s="83">
        <v>127.8</v>
      </c>
      <c r="H1855" s="258">
        <f t="shared" si="216"/>
        <v>1</v>
      </c>
      <c r="I1855" s="228"/>
      <c r="J1855" s="228"/>
      <c r="K1855" s="228"/>
      <c r="L1855"/>
      <c r="M1855"/>
    </row>
    <row r="1856" spans="1:13" s="232" customFormat="1" ht="78.75" x14ac:dyDescent="0.2">
      <c r="A1856" s="105" t="s">
        <v>966</v>
      </c>
      <c r="B1856" s="40" t="s">
        <v>802</v>
      </c>
      <c r="C1856" s="40" t="s">
        <v>934</v>
      </c>
      <c r="D1856" s="40" t="s">
        <v>215</v>
      </c>
      <c r="E1856" s="106"/>
      <c r="F1856" s="87">
        <f>F1857</f>
        <v>14</v>
      </c>
      <c r="G1856" s="87">
        <f>G1857</f>
        <v>14</v>
      </c>
      <c r="H1856" s="258">
        <f t="shared" si="216"/>
        <v>1</v>
      </c>
      <c r="I1856" s="228"/>
      <c r="J1856" s="228"/>
      <c r="K1856" s="228"/>
      <c r="L1856"/>
      <c r="M1856"/>
    </row>
    <row r="1857" spans="1:13" s="4" customFormat="1" x14ac:dyDescent="0.2">
      <c r="A1857" s="30" t="s">
        <v>821</v>
      </c>
      <c r="B1857" s="31" t="s">
        <v>802</v>
      </c>
      <c r="C1857" s="31" t="s">
        <v>934</v>
      </c>
      <c r="D1857" s="31" t="s">
        <v>215</v>
      </c>
      <c r="E1857" s="32">
        <v>500</v>
      </c>
      <c r="F1857" s="83">
        <f>F1858</f>
        <v>14</v>
      </c>
      <c r="G1857" s="83">
        <f>G1858</f>
        <v>14</v>
      </c>
      <c r="H1857" s="258">
        <f t="shared" si="216"/>
        <v>1</v>
      </c>
      <c r="I1857" s="228"/>
      <c r="J1857" s="228"/>
      <c r="K1857" s="228"/>
      <c r="L1857"/>
      <c r="M1857"/>
    </row>
    <row r="1858" spans="1:13" s="4" customFormat="1" x14ac:dyDescent="0.2">
      <c r="A1858" s="30" t="s">
        <v>825</v>
      </c>
      <c r="B1858" s="31" t="s">
        <v>802</v>
      </c>
      <c r="C1858" s="31" t="s">
        <v>934</v>
      </c>
      <c r="D1858" s="31" t="s">
        <v>215</v>
      </c>
      <c r="E1858" s="32">
        <v>540</v>
      </c>
      <c r="F1858" s="83">
        <v>14</v>
      </c>
      <c r="G1858" s="83">
        <v>14</v>
      </c>
      <c r="H1858" s="258">
        <f t="shared" si="216"/>
        <v>1</v>
      </c>
      <c r="I1858" s="228"/>
      <c r="J1858" s="228"/>
      <c r="K1858" s="228"/>
      <c r="L1858"/>
      <c r="M1858"/>
    </row>
    <row r="1859" spans="1:13" s="5" customFormat="1" x14ac:dyDescent="0.2">
      <c r="A1859" s="90" t="s">
        <v>120</v>
      </c>
      <c r="B1859" s="15" t="s">
        <v>802</v>
      </c>
      <c r="C1859" s="15" t="s">
        <v>934</v>
      </c>
      <c r="D1859" s="15" t="s">
        <v>121</v>
      </c>
      <c r="E1859" s="24"/>
      <c r="F1859" s="83">
        <f t="shared" ref="F1859:G1861" si="228">F1860</f>
        <v>134.30000000000001</v>
      </c>
      <c r="G1859" s="83">
        <f t="shared" si="228"/>
        <v>134.30000000000001</v>
      </c>
      <c r="H1859" s="258">
        <f t="shared" si="216"/>
        <v>1</v>
      </c>
      <c r="I1859" s="228"/>
      <c r="J1859" s="228"/>
      <c r="K1859" s="228"/>
      <c r="L1859"/>
      <c r="M1859"/>
    </row>
    <row r="1860" spans="1:13" s="5" customFormat="1" ht="31.5" x14ac:dyDescent="0.2">
      <c r="A1860" s="43" t="s">
        <v>531</v>
      </c>
      <c r="B1860" s="31" t="s">
        <v>802</v>
      </c>
      <c r="C1860" s="31" t="s">
        <v>934</v>
      </c>
      <c r="D1860" s="31" t="s">
        <v>379</v>
      </c>
      <c r="E1860" s="32"/>
      <c r="F1860" s="83">
        <f t="shared" si="228"/>
        <v>134.30000000000001</v>
      </c>
      <c r="G1860" s="83">
        <f t="shared" si="228"/>
        <v>134.30000000000001</v>
      </c>
      <c r="H1860" s="258">
        <f t="shared" si="216"/>
        <v>1</v>
      </c>
      <c r="I1860" s="228"/>
      <c r="J1860" s="228"/>
      <c r="K1860" s="228"/>
      <c r="L1860"/>
      <c r="M1860"/>
    </row>
    <row r="1861" spans="1:13" s="5" customFormat="1" x14ac:dyDescent="0.2">
      <c r="A1861" s="36" t="s">
        <v>821</v>
      </c>
      <c r="B1861" s="31" t="s">
        <v>802</v>
      </c>
      <c r="C1861" s="31" t="s">
        <v>934</v>
      </c>
      <c r="D1861" s="31" t="s">
        <v>379</v>
      </c>
      <c r="E1861" s="32">
        <v>500</v>
      </c>
      <c r="F1861" s="83">
        <f t="shared" si="228"/>
        <v>134.30000000000001</v>
      </c>
      <c r="G1861" s="83">
        <f t="shared" si="228"/>
        <v>134.30000000000001</v>
      </c>
      <c r="H1861" s="258">
        <f t="shared" si="216"/>
        <v>1</v>
      </c>
      <c r="I1861" s="228"/>
      <c r="J1861" s="228"/>
      <c r="K1861" s="228"/>
      <c r="L1861"/>
      <c r="M1861"/>
    </row>
    <row r="1862" spans="1:13" s="5" customFormat="1" x14ac:dyDescent="0.2">
      <c r="A1862" s="36" t="s">
        <v>825</v>
      </c>
      <c r="B1862" s="31" t="s">
        <v>802</v>
      </c>
      <c r="C1862" s="31" t="s">
        <v>934</v>
      </c>
      <c r="D1862" s="31" t="s">
        <v>379</v>
      </c>
      <c r="E1862" s="32">
        <v>540</v>
      </c>
      <c r="F1862" s="83">
        <v>134.30000000000001</v>
      </c>
      <c r="G1862" s="83">
        <v>134.30000000000001</v>
      </c>
      <c r="H1862" s="258">
        <f t="shared" si="216"/>
        <v>1</v>
      </c>
      <c r="I1862" s="228"/>
      <c r="J1862" s="228"/>
      <c r="K1862" s="228"/>
      <c r="L1862"/>
      <c r="M1862"/>
    </row>
    <row r="1863" spans="1:13" s="5" customFormat="1" ht="31.5" hidden="1" x14ac:dyDescent="0.2">
      <c r="A1863" s="43" t="s">
        <v>532</v>
      </c>
      <c r="B1863" s="31" t="s">
        <v>802</v>
      </c>
      <c r="C1863" s="31" t="s">
        <v>934</v>
      </c>
      <c r="D1863" s="31" t="s">
        <v>533</v>
      </c>
      <c r="E1863" s="32"/>
      <c r="F1863" s="83">
        <f t="shared" ref="F1863:H1865" si="229">F1650</f>
        <v>0</v>
      </c>
      <c r="G1863" s="83">
        <f t="shared" si="229"/>
        <v>0</v>
      </c>
      <c r="H1863" s="83" t="e">
        <f t="shared" si="229"/>
        <v>#DIV/0!</v>
      </c>
      <c r="I1863" s="228"/>
      <c r="J1863" s="228"/>
      <c r="K1863" s="228"/>
      <c r="L1863"/>
      <c r="M1863"/>
    </row>
    <row r="1864" spans="1:13" s="5" customFormat="1" hidden="1" x14ac:dyDescent="0.2">
      <c r="A1864" s="36" t="s">
        <v>821</v>
      </c>
      <c r="B1864" s="31" t="s">
        <v>802</v>
      </c>
      <c r="C1864" s="31" t="s">
        <v>934</v>
      </c>
      <c r="D1864" s="31" t="s">
        <v>533</v>
      </c>
      <c r="E1864" s="32">
        <v>500</v>
      </c>
      <c r="F1864" s="83">
        <f t="shared" si="229"/>
        <v>0</v>
      </c>
      <c r="G1864" s="83">
        <f t="shared" si="229"/>
        <v>0</v>
      </c>
      <c r="H1864" s="83" t="e">
        <f t="shared" si="229"/>
        <v>#DIV/0!</v>
      </c>
      <c r="I1864" s="228"/>
      <c r="J1864" s="228"/>
      <c r="K1864" s="228"/>
      <c r="L1864"/>
      <c r="M1864"/>
    </row>
    <row r="1865" spans="1:13" s="5" customFormat="1" hidden="1" x14ac:dyDescent="0.2">
      <c r="A1865" s="36" t="s">
        <v>825</v>
      </c>
      <c r="B1865" s="31" t="s">
        <v>802</v>
      </c>
      <c r="C1865" s="31" t="s">
        <v>934</v>
      </c>
      <c r="D1865" s="31" t="s">
        <v>533</v>
      </c>
      <c r="E1865" s="32">
        <v>540</v>
      </c>
      <c r="F1865" s="83">
        <f t="shared" si="229"/>
        <v>0</v>
      </c>
      <c r="G1865" s="83">
        <f t="shared" si="229"/>
        <v>0</v>
      </c>
      <c r="H1865" s="83" t="e">
        <f t="shared" si="229"/>
        <v>#DIV/0!</v>
      </c>
      <c r="I1865" s="228"/>
      <c r="J1865" s="228"/>
      <c r="K1865" s="228"/>
      <c r="L1865"/>
      <c r="M1865"/>
    </row>
    <row r="1866" spans="1:13" s="5" customFormat="1" x14ac:dyDescent="0.25">
      <c r="A1866" s="251"/>
      <c r="B1866" s="252"/>
      <c r="C1866" s="252"/>
      <c r="D1866" s="252"/>
      <c r="E1866" s="252"/>
      <c r="F1866" s="253"/>
      <c r="G1866" s="253"/>
      <c r="H1866" s="253"/>
      <c r="I1866" s="228"/>
      <c r="J1866" s="228"/>
      <c r="K1866" s="228"/>
      <c r="L1866"/>
      <c r="M1866"/>
    </row>
    <row r="1867" spans="1:13" s="5" customFormat="1" x14ac:dyDescent="0.25">
      <c r="A1867" s="251"/>
      <c r="B1867" s="252"/>
      <c r="C1867" s="252"/>
      <c r="D1867" s="252"/>
      <c r="E1867" s="252"/>
      <c r="F1867" s="253"/>
      <c r="G1867" s="253"/>
      <c r="H1867" s="253"/>
      <c r="I1867" s="228"/>
      <c r="J1867" s="228"/>
      <c r="K1867" s="228"/>
      <c r="L1867"/>
      <c r="M1867"/>
    </row>
    <row r="1868" spans="1:13" s="5" customFormat="1" x14ac:dyDescent="0.25">
      <c r="A1868" s="251"/>
      <c r="B1868" s="252"/>
      <c r="C1868" s="252"/>
      <c r="D1868" s="252"/>
      <c r="E1868" s="252"/>
      <c r="F1868" s="253"/>
      <c r="G1868" s="253"/>
      <c r="H1868" s="253"/>
      <c r="I1868" s="228"/>
      <c r="J1868" s="228"/>
      <c r="K1868" s="228"/>
      <c r="L1868"/>
      <c r="M1868"/>
    </row>
    <row r="1869" spans="1:13" s="5" customFormat="1" x14ac:dyDescent="0.25">
      <c r="A1869" s="251"/>
      <c r="B1869" s="252"/>
      <c r="C1869" s="252"/>
      <c r="D1869" s="252"/>
      <c r="E1869" s="252"/>
      <c r="F1869" s="253"/>
      <c r="G1869" s="253"/>
      <c r="H1869" s="253"/>
      <c r="I1869" s="228"/>
      <c r="J1869" s="228"/>
      <c r="K1869" s="228"/>
      <c r="L1869"/>
      <c r="M1869"/>
    </row>
    <row r="1870" spans="1:13" s="5" customFormat="1" x14ac:dyDescent="0.25">
      <c r="A1870" s="251"/>
      <c r="B1870" s="252"/>
      <c r="C1870" s="252"/>
      <c r="D1870" s="252"/>
      <c r="E1870" s="252"/>
      <c r="F1870" s="253"/>
      <c r="G1870" s="253"/>
      <c r="H1870" s="253"/>
      <c r="I1870" s="228"/>
      <c r="J1870" s="228"/>
      <c r="K1870" s="228"/>
      <c r="L1870"/>
      <c r="M1870"/>
    </row>
    <row r="1871" spans="1:13" s="5" customFormat="1" x14ac:dyDescent="0.25">
      <c r="A1871" s="251"/>
      <c r="B1871" s="252"/>
      <c r="C1871" s="252"/>
      <c r="D1871" s="252"/>
      <c r="E1871" s="252"/>
      <c r="F1871" s="253"/>
      <c r="G1871" s="253"/>
      <c r="H1871" s="253"/>
      <c r="I1871" s="228"/>
      <c r="J1871" s="228"/>
      <c r="K1871" s="228"/>
      <c r="L1871"/>
      <c r="M1871"/>
    </row>
    <row r="1872" spans="1:13" s="5" customFormat="1" x14ac:dyDescent="0.25">
      <c r="A1872" s="251"/>
      <c r="B1872" s="252"/>
      <c r="C1872" s="252"/>
      <c r="D1872" s="252"/>
      <c r="E1872" s="252"/>
      <c r="F1872" s="253"/>
      <c r="G1872" s="253"/>
      <c r="H1872" s="253"/>
      <c r="I1872" s="228"/>
      <c r="J1872" s="228"/>
      <c r="K1872" s="228"/>
      <c r="L1872"/>
      <c r="M1872"/>
    </row>
    <row r="1873" spans="1:13" s="5" customFormat="1" x14ac:dyDescent="0.25">
      <c r="A1873" s="251"/>
      <c r="B1873" s="252"/>
      <c r="C1873" s="252"/>
      <c r="D1873" s="252"/>
      <c r="E1873" s="252"/>
      <c r="F1873" s="253"/>
      <c r="G1873" s="253"/>
      <c r="H1873" s="253"/>
      <c r="I1873" s="228"/>
      <c r="J1873" s="228"/>
      <c r="K1873" s="228"/>
      <c r="L1873"/>
      <c r="M1873"/>
    </row>
    <row r="1874" spans="1:13" s="5" customFormat="1" x14ac:dyDescent="0.25">
      <c r="A1874" s="251"/>
      <c r="B1874" s="252"/>
      <c r="C1874" s="252"/>
      <c r="D1874" s="252"/>
      <c r="E1874" s="252"/>
      <c r="F1874" s="253"/>
      <c r="G1874" s="253"/>
      <c r="H1874" s="253"/>
      <c r="I1874" s="228"/>
      <c r="J1874" s="228"/>
      <c r="K1874" s="228"/>
      <c r="L1874"/>
      <c r="M1874"/>
    </row>
    <row r="1875" spans="1:13" s="5" customFormat="1" x14ac:dyDescent="0.25">
      <c r="A1875" s="251"/>
      <c r="B1875" s="252"/>
      <c r="C1875" s="252"/>
      <c r="D1875" s="252"/>
      <c r="E1875" s="252"/>
      <c r="F1875" s="253"/>
      <c r="G1875" s="253"/>
      <c r="H1875" s="253"/>
      <c r="I1875" s="228"/>
      <c r="J1875" s="228"/>
      <c r="K1875" s="228"/>
      <c r="L1875"/>
      <c r="M1875"/>
    </row>
    <row r="1876" spans="1:13" s="5" customFormat="1" x14ac:dyDescent="0.25">
      <c r="A1876" s="251"/>
      <c r="B1876" s="252"/>
      <c r="C1876" s="252"/>
      <c r="D1876" s="252"/>
      <c r="E1876" s="252"/>
      <c r="F1876" s="253"/>
      <c r="G1876" s="253"/>
      <c r="H1876" s="253"/>
      <c r="I1876" s="228"/>
      <c r="J1876" s="228"/>
      <c r="K1876" s="228"/>
      <c r="L1876"/>
      <c r="M1876"/>
    </row>
    <row r="1877" spans="1:13" s="5" customFormat="1" x14ac:dyDescent="0.25">
      <c r="A1877" s="251"/>
      <c r="B1877" s="252"/>
      <c r="C1877" s="252"/>
      <c r="D1877" s="252"/>
      <c r="E1877" s="252"/>
      <c r="F1877" s="253"/>
      <c r="G1877" s="253"/>
      <c r="H1877" s="253"/>
      <c r="I1877" s="228"/>
      <c r="J1877" s="228"/>
      <c r="K1877" s="228"/>
      <c r="L1877"/>
      <c r="M1877"/>
    </row>
    <row r="1878" spans="1:13" s="5" customFormat="1" x14ac:dyDescent="0.25">
      <c r="A1878" s="251"/>
      <c r="B1878" s="252"/>
      <c r="C1878" s="252"/>
      <c r="D1878" s="252"/>
      <c r="E1878" s="252"/>
      <c r="F1878" s="253"/>
      <c r="G1878" s="253"/>
      <c r="H1878" s="253"/>
      <c r="I1878" s="228"/>
      <c r="J1878" s="228"/>
      <c r="K1878" s="228"/>
      <c r="L1878"/>
      <c r="M1878"/>
    </row>
    <row r="1879" spans="1:13" s="5" customFormat="1" x14ac:dyDescent="0.25">
      <c r="A1879" s="251"/>
      <c r="B1879" s="252"/>
      <c r="C1879" s="252"/>
      <c r="D1879" s="252"/>
      <c r="E1879" s="252"/>
      <c r="F1879" s="253"/>
      <c r="G1879" s="253"/>
      <c r="H1879" s="253"/>
      <c r="I1879" s="228"/>
      <c r="J1879" s="228"/>
      <c r="K1879" s="228"/>
      <c r="L1879"/>
      <c r="M1879"/>
    </row>
    <row r="1880" spans="1:13" s="5" customFormat="1" x14ac:dyDescent="0.25">
      <c r="A1880" s="251"/>
      <c r="B1880" s="252"/>
      <c r="C1880" s="252"/>
      <c r="D1880" s="252"/>
      <c r="E1880" s="252"/>
      <c r="F1880" s="253"/>
      <c r="G1880" s="253"/>
      <c r="H1880" s="253"/>
      <c r="I1880" s="228"/>
      <c r="J1880" s="228"/>
      <c r="K1880" s="228"/>
      <c r="L1880"/>
      <c r="M1880"/>
    </row>
    <row r="1881" spans="1:13" s="5" customFormat="1" x14ac:dyDescent="0.25">
      <c r="A1881" s="251"/>
      <c r="B1881" s="252"/>
      <c r="C1881" s="252"/>
      <c r="D1881" s="252"/>
      <c r="E1881" s="252"/>
      <c r="F1881" s="253"/>
      <c r="G1881" s="253"/>
      <c r="H1881" s="253"/>
      <c r="I1881" s="228"/>
      <c r="J1881" s="228"/>
      <c r="K1881" s="228"/>
      <c r="L1881"/>
      <c r="M1881"/>
    </row>
    <row r="1882" spans="1:13" s="5" customFormat="1" x14ac:dyDescent="0.25">
      <c r="A1882" s="251"/>
      <c r="B1882" s="252"/>
      <c r="C1882" s="252"/>
      <c r="D1882" s="252"/>
      <c r="E1882" s="252"/>
      <c r="F1882" s="253"/>
      <c r="G1882" s="253"/>
      <c r="H1882" s="253"/>
      <c r="I1882" s="228"/>
      <c r="J1882" s="228"/>
      <c r="K1882" s="228"/>
      <c r="L1882"/>
      <c r="M1882"/>
    </row>
    <row r="1883" spans="1:13" s="5" customFormat="1" x14ac:dyDescent="0.25">
      <c r="A1883" s="251"/>
      <c r="B1883" s="252"/>
      <c r="C1883" s="252"/>
      <c r="D1883" s="252"/>
      <c r="E1883" s="252"/>
      <c r="F1883" s="253"/>
      <c r="G1883" s="253"/>
      <c r="H1883" s="253"/>
      <c r="I1883" s="228"/>
      <c r="J1883" s="228"/>
      <c r="K1883" s="228"/>
      <c r="L1883"/>
      <c r="M1883"/>
    </row>
    <row r="1884" spans="1:13" s="5" customFormat="1" x14ac:dyDescent="0.25">
      <c r="A1884" s="251"/>
      <c r="B1884" s="252"/>
      <c r="C1884" s="252"/>
      <c r="D1884" s="252"/>
      <c r="E1884" s="252"/>
      <c r="F1884" s="253"/>
      <c r="G1884" s="253"/>
      <c r="H1884" s="253"/>
      <c r="I1884" s="228"/>
      <c r="J1884" s="228"/>
      <c r="K1884" s="228"/>
      <c r="L1884"/>
      <c r="M1884"/>
    </row>
    <row r="1885" spans="1:13" s="5" customFormat="1" x14ac:dyDescent="0.25">
      <c r="A1885" s="251"/>
      <c r="B1885" s="252"/>
      <c r="C1885" s="252"/>
      <c r="D1885" s="252"/>
      <c r="E1885" s="252"/>
      <c r="F1885" s="253"/>
      <c r="G1885" s="253"/>
      <c r="H1885" s="253"/>
      <c r="I1885" s="228"/>
      <c r="J1885" s="228"/>
      <c r="K1885" s="228"/>
      <c r="L1885"/>
      <c r="M1885"/>
    </row>
    <row r="1886" spans="1:13" s="5" customFormat="1" x14ac:dyDescent="0.25">
      <c r="A1886" s="251"/>
      <c r="B1886" s="252"/>
      <c r="C1886" s="252"/>
      <c r="D1886" s="252"/>
      <c r="E1886" s="252"/>
      <c r="F1886" s="253"/>
      <c r="G1886" s="253"/>
      <c r="H1886" s="253"/>
      <c r="I1886" s="228"/>
      <c r="J1886" s="228"/>
      <c r="K1886" s="228"/>
      <c r="L1886"/>
      <c r="M1886"/>
    </row>
    <row r="1887" spans="1:13" s="5" customFormat="1" x14ac:dyDescent="0.25">
      <c r="A1887" s="251"/>
      <c r="B1887" s="252"/>
      <c r="C1887" s="252"/>
      <c r="D1887" s="252"/>
      <c r="E1887" s="252"/>
      <c r="F1887" s="253"/>
      <c r="G1887" s="253"/>
      <c r="H1887" s="253"/>
      <c r="I1887" s="228"/>
      <c r="J1887" s="228"/>
      <c r="K1887" s="228"/>
      <c r="L1887"/>
      <c r="M1887"/>
    </row>
    <row r="1888" spans="1:13" s="5" customFormat="1" x14ac:dyDescent="0.25">
      <c r="A1888" s="251"/>
      <c r="B1888" s="252"/>
      <c r="C1888" s="252"/>
      <c r="D1888" s="252"/>
      <c r="E1888" s="252"/>
      <c r="F1888" s="253"/>
      <c r="G1888" s="253"/>
      <c r="H1888" s="253"/>
      <c r="I1888" s="228"/>
      <c r="J1888" s="228"/>
      <c r="K1888" s="228"/>
      <c r="L1888"/>
      <c r="M1888"/>
    </row>
    <row r="1889" spans="1:13" s="5" customFormat="1" x14ac:dyDescent="0.25">
      <c r="A1889" s="251"/>
      <c r="B1889" s="252"/>
      <c r="C1889" s="252"/>
      <c r="D1889" s="252"/>
      <c r="E1889" s="252"/>
      <c r="F1889" s="253"/>
      <c r="G1889" s="253"/>
      <c r="H1889" s="253"/>
      <c r="I1889" s="228"/>
      <c r="J1889" s="228"/>
      <c r="K1889" s="228"/>
      <c r="L1889"/>
      <c r="M1889"/>
    </row>
    <row r="1890" spans="1:13" s="5" customFormat="1" x14ac:dyDescent="0.25">
      <c r="A1890" s="251"/>
      <c r="B1890" s="252"/>
      <c r="C1890" s="252"/>
      <c r="D1890" s="252"/>
      <c r="E1890" s="252"/>
      <c r="F1890" s="253"/>
      <c r="G1890" s="253"/>
      <c r="H1890" s="253"/>
      <c r="I1890" s="228"/>
      <c r="J1890" s="228"/>
      <c r="K1890" s="228"/>
      <c r="L1890"/>
      <c r="M1890"/>
    </row>
    <row r="1891" spans="1:13" s="5" customFormat="1" x14ac:dyDescent="0.25">
      <c r="A1891" s="251"/>
      <c r="B1891" s="252"/>
      <c r="C1891" s="252"/>
      <c r="D1891" s="252"/>
      <c r="E1891" s="252"/>
      <c r="F1891" s="253"/>
      <c r="G1891" s="253"/>
      <c r="H1891" s="253"/>
      <c r="I1891" s="228"/>
      <c r="J1891" s="228"/>
      <c r="K1891" s="228"/>
      <c r="L1891"/>
      <c r="M1891"/>
    </row>
    <row r="1892" spans="1:13" s="5" customFormat="1" x14ac:dyDescent="0.25">
      <c r="A1892" s="251"/>
      <c r="B1892" s="252"/>
      <c r="C1892" s="252"/>
      <c r="D1892" s="252"/>
      <c r="E1892" s="252"/>
      <c r="F1892" s="253"/>
      <c r="G1892" s="253"/>
      <c r="H1892" s="253"/>
      <c r="I1892" s="228"/>
      <c r="J1892" s="228"/>
      <c r="K1892" s="228"/>
      <c r="L1892"/>
      <c r="M1892"/>
    </row>
    <row r="1893" spans="1:13" s="5" customFormat="1" x14ac:dyDescent="0.25">
      <c r="A1893" s="251"/>
      <c r="B1893" s="252"/>
      <c r="C1893" s="252"/>
      <c r="D1893" s="252"/>
      <c r="E1893" s="252"/>
      <c r="F1893" s="253"/>
      <c r="G1893" s="253"/>
      <c r="H1893" s="253"/>
      <c r="I1893" s="228"/>
      <c r="J1893" s="228"/>
      <c r="K1893" s="228"/>
      <c r="L1893"/>
      <c r="M1893"/>
    </row>
    <row r="1894" spans="1:13" s="5" customFormat="1" x14ac:dyDescent="0.25">
      <c r="A1894" s="251"/>
      <c r="B1894" s="252"/>
      <c r="C1894" s="252"/>
      <c r="D1894" s="252"/>
      <c r="E1894" s="252"/>
      <c r="F1894" s="253"/>
      <c r="G1894" s="253"/>
      <c r="H1894" s="253"/>
      <c r="I1894" s="228"/>
      <c r="J1894" s="228"/>
      <c r="K1894" s="228"/>
      <c r="L1894"/>
      <c r="M1894"/>
    </row>
    <row r="1895" spans="1:13" s="5" customFormat="1" x14ac:dyDescent="0.25">
      <c r="A1895" s="251"/>
      <c r="B1895" s="252"/>
      <c r="C1895" s="252"/>
      <c r="D1895" s="252"/>
      <c r="E1895" s="252"/>
      <c r="F1895" s="253"/>
      <c r="G1895" s="253"/>
      <c r="H1895" s="253"/>
      <c r="I1895" s="228"/>
      <c r="J1895" s="228"/>
      <c r="K1895" s="228"/>
      <c r="L1895"/>
      <c r="M1895"/>
    </row>
    <row r="1896" spans="1:13" s="5" customFormat="1" x14ac:dyDescent="0.25">
      <c r="A1896" s="251"/>
      <c r="B1896" s="252"/>
      <c r="C1896" s="252"/>
      <c r="D1896" s="252"/>
      <c r="E1896" s="252"/>
      <c r="F1896" s="253"/>
      <c r="G1896" s="253"/>
      <c r="H1896" s="253"/>
      <c r="I1896" s="228"/>
      <c r="J1896" s="228"/>
      <c r="K1896" s="228"/>
      <c r="L1896"/>
      <c r="M1896"/>
    </row>
    <row r="1897" spans="1:13" s="5" customFormat="1" x14ac:dyDescent="0.25">
      <c r="A1897" s="251"/>
      <c r="B1897" s="252"/>
      <c r="C1897" s="252"/>
      <c r="D1897" s="252"/>
      <c r="E1897" s="252"/>
      <c r="F1897" s="253"/>
      <c r="G1897" s="253"/>
      <c r="H1897" s="253"/>
      <c r="I1897" s="228"/>
      <c r="J1897" s="228"/>
      <c r="K1897" s="228"/>
      <c r="L1897"/>
      <c r="M1897"/>
    </row>
    <row r="1898" spans="1:13" s="5" customFormat="1" x14ac:dyDescent="0.25">
      <c r="A1898" s="251"/>
      <c r="B1898" s="252"/>
      <c r="C1898" s="252"/>
      <c r="D1898" s="252"/>
      <c r="E1898" s="252"/>
      <c r="F1898" s="253"/>
      <c r="G1898" s="253"/>
      <c r="H1898" s="253"/>
      <c r="I1898" s="228"/>
      <c r="J1898" s="228"/>
      <c r="K1898" s="228"/>
      <c r="L1898"/>
      <c r="M1898"/>
    </row>
    <row r="1899" spans="1:13" s="5" customFormat="1" x14ac:dyDescent="0.25">
      <c r="A1899" s="251"/>
      <c r="B1899" s="252"/>
      <c r="C1899" s="252"/>
      <c r="D1899" s="252"/>
      <c r="E1899" s="252"/>
      <c r="F1899" s="253"/>
      <c r="G1899" s="253"/>
      <c r="H1899" s="253"/>
      <c r="I1899" s="228"/>
      <c r="J1899" s="228"/>
      <c r="K1899" s="228"/>
      <c r="L1899"/>
      <c r="M1899"/>
    </row>
    <row r="1900" spans="1:13" s="5" customFormat="1" x14ac:dyDescent="0.25">
      <c r="A1900" s="251"/>
      <c r="B1900" s="252"/>
      <c r="C1900" s="252"/>
      <c r="D1900" s="252"/>
      <c r="E1900" s="252"/>
      <c r="F1900" s="253"/>
      <c r="G1900" s="253"/>
      <c r="H1900" s="253"/>
      <c r="I1900" s="228"/>
      <c r="J1900" s="228"/>
      <c r="K1900" s="228"/>
      <c r="L1900"/>
      <c r="M1900"/>
    </row>
    <row r="1901" spans="1:13" s="5" customFormat="1" x14ac:dyDescent="0.25">
      <c r="A1901" s="251"/>
      <c r="B1901" s="252"/>
      <c r="C1901" s="252"/>
      <c r="D1901" s="252"/>
      <c r="E1901" s="252"/>
      <c r="F1901" s="253"/>
      <c r="G1901" s="253"/>
      <c r="H1901" s="253"/>
      <c r="I1901" s="228"/>
      <c r="J1901" s="228"/>
      <c r="K1901" s="228"/>
      <c r="L1901"/>
      <c r="M1901"/>
    </row>
    <row r="1902" spans="1:13" s="5" customFormat="1" x14ac:dyDescent="0.25">
      <c r="A1902" s="251"/>
      <c r="B1902" s="252"/>
      <c r="C1902" s="252"/>
      <c r="D1902" s="252"/>
      <c r="E1902" s="252"/>
      <c r="F1902" s="253"/>
      <c r="G1902" s="253"/>
      <c r="H1902" s="253"/>
      <c r="I1902" s="228"/>
      <c r="J1902" s="228"/>
      <c r="K1902" s="228"/>
      <c r="L1902"/>
      <c r="M1902"/>
    </row>
    <row r="1903" spans="1:13" s="5" customFormat="1" x14ac:dyDescent="0.25">
      <c r="A1903" s="251"/>
      <c r="B1903" s="252"/>
      <c r="C1903" s="252"/>
      <c r="D1903" s="252"/>
      <c r="E1903" s="252"/>
      <c r="F1903" s="253"/>
      <c r="G1903" s="253"/>
      <c r="H1903" s="253"/>
      <c r="I1903" s="228"/>
      <c r="J1903" s="228"/>
      <c r="K1903" s="228"/>
      <c r="L1903"/>
      <c r="M1903"/>
    </row>
    <row r="1904" spans="1:13" s="5" customFormat="1" x14ac:dyDescent="0.25">
      <c r="A1904" s="251"/>
      <c r="B1904" s="252"/>
      <c r="C1904" s="252"/>
      <c r="D1904" s="252"/>
      <c r="E1904" s="252"/>
      <c r="F1904" s="253"/>
      <c r="G1904" s="253"/>
      <c r="H1904" s="253"/>
      <c r="I1904" s="228"/>
      <c r="J1904" s="228"/>
      <c r="K1904" s="228"/>
      <c r="L1904"/>
      <c r="M1904"/>
    </row>
    <row r="1905" spans="1:13" s="5" customFormat="1" x14ac:dyDescent="0.25">
      <c r="A1905" s="251"/>
      <c r="B1905" s="252"/>
      <c r="C1905" s="252"/>
      <c r="D1905" s="252"/>
      <c r="E1905" s="252"/>
      <c r="F1905" s="253"/>
      <c r="G1905" s="253"/>
      <c r="H1905" s="253"/>
      <c r="I1905" s="228"/>
      <c r="J1905" s="228"/>
      <c r="K1905" s="228"/>
      <c r="L1905"/>
      <c r="M1905"/>
    </row>
    <row r="1906" spans="1:13" s="5" customFormat="1" x14ac:dyDescent="0.25">
      <c r="A1906" s="251"/>
      <c r="B1906" s="252"/>
      <c r="C1906" s="252"/>
      <c r="D1906" s="252"/>
      <c r="E1906" s="252"/>
      <c r="F1906" s="253"/>
      <c r="G1906" s="253"/>
      <c r="H1906" s="253"/>
      <c r="I1906" s="228"/>
      <c r="J1906" s="228"/>
      <c r="K1906" s="228"/>
      <c r="L1906"/>
      <c r="M1906"/>
    </row>
    <row r="1907" spans="1:13" s="5" customFormat="1" x14ac:dyDescent="0.25">
      <c r="A1907" s="251"/>
      <c r="B1907" s="252"/>
      <c r="C1907" s="252"/>
      <c r="D1907" s="252"/>
      <c r="E1907" s="252"/>
      <c r="F1907" s="253"/>
      <c r="G1907" s="253"/>
      <c r="H1907" s="253"/>
      <c r="I1907" s="228"/>
      <c r="J1907" s="228"/>
      <c r="K1907" s="228"/>
      <c r="L1907"/>
      <c r="M1907"/>
    </row>
    <row r="1908" spans="1:13" s="5" customFormat="1" x14ac:dyDescent="0.25">
      <c r="A1908" s="251"/>
      <c r="B1908" s="252"/>
      <c r="C1908" s="252"/>
      <c r="D1908" s="252"/>
      <c r="E1908" s="252"/>
      <c r="F1908" s="253"/>
      <c r="G1908" s="253"/>
      <c r="H1908" s="253"/>
      <c r="I1908" s="228"/>
      <c r="J1908" s="228"/>
      <c r="K1908" s="228"/>
      <c r="L1908"/>
      <c r="M1908"/>
    </row>
    <row r="1909" spans="1:13" s="5" customFormat="1" x14ac:dyDescent="0.25">
      <c r="A1909" s="251"/>
      <c r="B1909" s="252"/>
      <c r="C1909" s="252"/>
      <c r="D1909" s="252"/>
      <c r="E1909" s="252"/>
      <c r="F1909" s="253"/>
      <c r="G1909" s="253"/>
      <c r="H1909" s="253"/>
      <c r="I1909" s="228"/>
      <c r="J1909" s="228"/>
      <c r="K1909" s="228"/>
      <c r="L1909"/>
      <c r="M1909"/>
    </row>
    <row r="1910" spans="1:13" s="5" customFormat="1" x14ac:dyDescent="0.25">
      <c r="A1910" s="251"/>
      <c r="B1910" s="252"/>
      <c r="C1910" s="252"/>
      <c r="D1910" s="252"/>
      <c r="E1910" s="252"/>
      <c r="F1910" s="253"/>
      <c r="G1910" s="253"/>
      <c r="H1910" s="253"/>
      <c r="I1910" s="228"/>
      <c r="J1910" s="228"/>
      <c r="K1910" s="228"/>
      <c r="L1910"/>
      <c r="M1910"/>
    </row>
    <row r="1911" spans="1:13" s="5" customFormat="1" x14ac:dyDescent="0.25">
      <c r="A1911" s="251"/>
      <c r="B1911" s="252"/>
      <c r="C1911" s="252"/>
      <c r="D1911" s="252"/>
      <c r="E1911" s="252"/>
      <c r="F1911" s="253"/>
      <c r="G1911" s="253"/>
      <c r="H1911" s="253"/>
      <c r="I1911" s="228"/>
      <c r="J1911" s="228"/>
      <c r="K1911" s="228"/>
      <c r="L1911"/>
      <c r="M1911"/>
    </row>
    <row r="1912" spans="1:13" s="5" customFormat="1" x14ac:dyDescent="0.25">
      <c r="A1912" s="251"/>
      <c r="B1912" s="252"/>
      <c r="C1912" s="252"/>
      <c r="D1912" s="252"/>
      <c r="E1912" s="252"/>
      <c r="F1912" s="253"/>
      <c r="G1912" s="253"/>
      <c r="H1912" s="253"/>
      <c r="I1912" s="228"/>
      <c r="J1912" s="228"/>
      <c r="K1912" s="228"/>
      <c r="L1912"/>
      <c r="M1912"/>
    </row>
    <row r="1913" spans="1:13" s="5" customFormat="1" x14ac:dyDescent="0.25">
      <c r="A1913" s="251"/>
      <c r="B1913" s="252"/>
      <c r="C1913" s="252"/>
      <c r="D1913" s="252"/>
      <c r="E1913" s="252"/>
      <c r="F1913" s="253"/>
      <c r="G1913" s="253"/>
      <c r="H1913" s="253"/>
      <c r="I1913" s="228"/>
      <c r="J1913" s="228"/>
      <c r="K1913" s="228"/>
      <c r="L1913"/>
      <c r="M1913"/>
    </row>
    <row r="1914" spans="1:13" s="5" customFormat="1" x14ac:dyDescent="0.25">
      <c r="A1914" s="251"/>
      <c r="B1914" s="252"/>
      <c r="C1914" s="252"/>
      <c r="D1914" s="252"/>
      <c r="E1914" s="252"/>
      <c r="F1914" s="253"/>
      <c r="G1914" s="253"/>
      <c r="H1914" s="253"/>
      <c r="I1914" s="228"/>
      <c r="J1914" s="228"/>
      <c r="K1914" s="228"/>
      <c r="L1914"/>
      <c r="M1914"/>
    </row>
    <row r="1915" spans="1:13" s="5" customFormat="1" x14ac:dyDescent="0.25">
      <c r="A1915" s="251"/>
      <c r="B1915" s="252"/>
      <c r="C1915" s="252"/>
      <c r="D1915" s="252"/>
      <c r="E1915" s="252"/>
      <c r="F1915" s="253"/>
      <c r="G1915" s="253"/>
      <c r="H1915" s="253"/>
      <c r="I1915" s="228"/>
      <c r="J1915" s="228"/>
      <c r="K1915" s="228"/>
      <c r="L1915"/>
      <c r="M1915"/>
    </row>
    <row r="1916" spans="1:13" s="5" customFormat="1" x14ac:dyDescent="0.25">
      <c r="A1916" s="251"/>
      <c r="B1916" s="252"/>
      <c r="C1916" s="252"/>
      <c r="D1916" s="252"/>
      <c r="E1916" s="252"/>
      <c r="F1916" s="253"/>
      <c r="G1916" s="253"/>
      <c r="H1916" s="253"/>
      <c r="I1916" s="228"/>
      <c r="J1916" s="228"/>
      <c r="K1916" s="228"/>
      <c r="L1916"/>
      <c r="M1916"/>
    </row>
    <row r="1917" spans="1:13" s="5" customFormat="1" x14ac:dyDescent="0.25">
      <c r="A1917" s="251"/>
      <c r="B1917" s="252"/>
      <c r="C1917" s="252"/>
      <c r="D1917" s="252"/>
      <c r="E1917" s="252"/>
      <c r="F1917" s="253"/>
      <c r="G1917" s="253"/>
      <c r="H1917" s="253"/>
      <c r="I1917" s="228"/>
      <c r="J1917" s="228"/>
      <c r="K1917" s="228"/>
      <c r="L1917"/>
      <c r="M1917"/>
    </row>
    <row r="1918" spans="1:13" s="5" customFormat="1" x14ac:dyDescent="0.25">
      <c r="A1918" s="251"/>
      <c r="B1918" s="252"/>
      <c r="C1918" s="252"/>
      <c r="D1918" s="252"/>
      <c r="E1918" s="252"/>
      <c r="F1918" s="253"/>
      <c r="G1918" s="253"/>
      <c r="H1918" s="253"/>
      <c r="I1918" s="228"/>
      <c r="J1918" s="228"/>
      <c r="K1918" s="228"/>
      <c r="L1918"/>
      <c r="M1918"/>
    </row>
    <row r="1919" spans="1:13" s="5" customFormat="1" x14ac:dyDescent="0.25">
      <c r="A1919" s="251"/>
      <c r="B1919" s="252"/>
      <c r="C1919" s="252"/>
      <c r="D1919" s="252"/>
      <c r="E1919" s="252"/>
      <c r="F1919" s="253"/>
      <c r="G1919" s="253"/>
      <c r="H1919" s="253"/>
      <c r="I1919" s="228"/>
      <c r="J1919" s="228"/>
      <c r="K1919" s="228"/>
      <c r="L1919"/>
      <c r="M1919"/>
    </row>
    <row r="1920" spans="1:13" s="5" customFormat="1" x14ac:dyDescent="0.25">
      <c r="A1920" s="251"/>
      <c r="B1920" s="252"/>
      <c r="C1920" s="252"/>
      <c r="D1920" s="252"/>
      <c r="E1920" s="252"/>
      <c r="F1920" s="253"/>
      <c r="G1920" s="253"/>
      <c r="H1920" s="253"/>
      <c r="I1920" s="228"/>
      <c r="J1920" s="228"/>
      <c r="K1920" s="228"/>
      <c r="L1920"/>
      <c r="M1920"/>
    </row>
    <row r="1921" spans="1:13" s="5" customFormat="1" x14ac:dyDescent="0.25">
      <c r="A1921" s="251"/>
      <c r="B1921" s="252"/>
      <c r="C1921" s="252"/>
      <c r="D1921" s="252"/>
      <c r="E1921" s="252"/>
      <c r="F1921" s="253"/>
      <c r="G1921" s="253"/>
      <c r="H1921" s="253"/>
      <c r="I1921" s="228"/>
      <c r="J1921" s="228"/>
      <c r="K1921" s="228"/>
      <c r="L1921"/>
      <c r="M1921"/>
    </row>
    <row r="1922" spans="1:13" s="5" customFormat="1" x14ac:dyDescent="0.25">
      <c r="A1922" s="251"/>
      <c r="B1922" s="252"/>
      <c r="C1922" s="252"/>
      <c r="D1922" s="252"/>
      <c r="E1922" s="252"/>
      <c r="F1922" s="253"/>
      <c r="G1922" s="253"/>
      <c r="H1922" s="253"/>
      <c r="I1922" s="228"/>
      <c r="J1922" s="228"/>
      <c r="K1922" s="228"/>
      <c r="L1922"/>
      <c r="M1922"/>
    </row>
    <row r="1923" spans="1:13" s="5" customFormat="1" x14ac:dyDescent="0.25">
      <c r="A1923" s="251"/>
      <c r="B1923" s="252"/>
      <c r="C1923" s="252"/>
      <c r="D1923" s="252"/>
      <c r="E1923" s="252"/>
      <c r="F1923" s="253"/>
      <c r="G1923" s="253"/>
      <c r="H1923" s="253"/>
      <c r="I1923" s="228"/>
      <c r="J1923" s="228"/>
      <c r="K1923" s="228"/>
      <c r="L1923"/>
      <c r="M1923"/>
    </row>
    <row r="1924" spans="1:13" s="5" customFormat="1" x14ac:dyDescent="0.25">
      <c r="A1924" s="251"/>
      <c r="B1924" s="252"/>
      <c r="C1924" s="252"/>
      <c r="D1924" s="252"/>
      <c r="E1924" s="252"/>
      <c r="F1924" s="253"/>
      <c r="G1924" s="253"/>
      <c r="H1924" s="253"/>
      <c r="I1924" s="228"/>
      <c r="J1924" s="228"/>
      <c r="K1924" s="228"/>
      <c r="L1924"/>
      <c r="M1924"/>
    </row>
    <row r="1925" spans="1:13" s="5" customFormat="1" x14ac:dyDescent="0.25">
      <c r="A1925" s="251"/>
      <c r="B1925" s="252"/>
      <c r="C1925" s="252"/>
      <c r="D1925" s="252"/>
      <c r="E1925" s="252"/>
      <c r="F1925" s="253"/>
      <c r="G1925" s="253"/>
      <c r="H1925" s="253"/>
      <c r="I1925" s="228"/>
      <c r="J1925" s="228"/>
      <c r="K1925" s="228"/>
      <c r="L1925"/>
      <c r="M1925"/>
    </row>
    <row r="1926" spans="1:13" s="5" customFormat="1" x14ac:dyDescent="0.25">
      <c r="A1926" s="251"/>
      <c r="B1926" s="252"/>
      <c r="C1926" s="252"/>
      <c r="D1926" s="252"/>
      <c r="E1926" s="252"/>
      <c r="F1926" s="253"/>
      <c r="G1926" s="253"/>
      <c r="H1926" s="253"/>
      <c r="I1926" s="228"/>
      <c r="J1926" s="228"/>
      <c r="K1926" s="228"/>
      <c r="L1926"/>
      <c r="M1926"/>
    </row>
    <row r="1927" spans="1:13" s="5" customFormat="1" x14ac:dyDescent="0.25">
      <c r="A1927" s="251"/>
      <c r="B1927" s="252"/>
      <c r="C1927" s="252"/>
      <c r="D1927" s="252"/>
      <c r="E1927" s="252"/>
      <c r="F1927" s="253"/>
      <c r="G1927" s="253"/>
      <c r="H1927" s="253"/>
      <c r="I1927" s="228"/>
      <c r="J1927" s="228"/>
      <c r="K1927" s="228"/>
      <c r="L1927"/>
      <c r="M1927"/>
    </row>
    <row r="1928" spans="1:13" s="5" customFormat="1" x14ac:dyDescent="0.25">
      <c r="A1928" s="251"/>
      <c r="B1928" s="252"/>
      <c r="C1928" s="252"/>
      <c r="D1928" s="252"/>
      <c r="E1928" s="252"/>
      <c r="F1928" s="253"/>
      <c r="G1928" s="253"/>
      <c r="H1928" s="253"/>
      <c r="I1928" s="228"/>
      <c r="J1928" s="228"/>
      <c r="K1928" s="228"/>
      <c r="L1928"/>
      <c r="M1928"/>
    </row>
    <row r="1929" spans="1:13" s="5" customFormat="1" x14ac:dyDescent="0.25">
      <c r="A1929" s="251"/>
      <c r="B1929" s="252"/>
      <c r="C1929" s="252"/>
      <c r="D1929" s="252"/>
      <c r="E1929" s="252"/>
      <c r="F1929" s="253"/>
      <c r="G1929" s="253"/>
      <c r="H1929" s="253"/>
      <c r="I1929" s="228"/>
      <c r="J1929" s="228"/>
      <c r="K1929" s="228"/>
      <c r="L1929"/>
      <c r="M1929"/>
    </row>
    <row r="1930" spans="1:13" s="5" customFormat="1" x14ac:dyDescent="0.25">
      <c r="A1930" s="251"/>
      <c r="B1930" s="252"/>
      <c r="C1930" s="252"/>
      <c r="D1930" s="252"/>
      <c r="E1930" s="252"/>
      <c r="F1930" s="253"/>
      <c r="G1930" s="253"/>
      <c r="H1930" s="253"/>
      <c r="I1930" s="228"/>
      <c r="J1930" s="228"/>
      <c r="K1930" s="228"/>
      <c r="L1930"/>
      <c r="M1930"/>
    </row>
    <row r="1931" spans="1:13" s="5" customFormat="1" x14ac:dyDescent="0.25">
      <c r="A1931" s="251"/>
      <c r="B1931" s="252"/>
      <c r="C1931" s="252"/>
      <c r="D1931" s="252"/>
      <c r="E1931" s="252"/>
      <c r="F1931" s="253"/>
      <c r="G1931" s="253"/>
      <c r="H1931" s="253"/>
      <c r="I1931" s="228"/>
      <c r="J1931" s="228"/>
      <c r="K1931" s="228"/>
      <c r="L1931"/>
      <c r="M1931"/>
    </row>
    <row r="1932" spans="1:13" s="5" customFormat="1" x14ac:dyDescent="0.25">
      <c r="A1932" s="251"/>
      <c r="B1932" s="252"/>
      <c r="C1932" s="252"/>
      <c r="D1932" s="252"/>
      <c r="E1932" s="252"/>
      <c r="F1932" s="254"/>
      <c r="G1932" s="254"/>
      <c r="H1932" s="254"/>
      <c r="I1932" s="228"/>
      <c r="J1932" s="228"/>
      <c r="K1932" s="228"/>
      <c r="L1932"/>
      <c r="M1932"/>
    </row>
    <row r="1933" spans="1:13" s="5" customFormat="1" x14ac:dyDescent="0.25">
      <c r="A1933" s="251"/>
      <c r="B1933" s="255"/>
      <c r="C1933" s="255"/>
      <c r="D1933" s="255"/>
      <c r="E1933" s="255"/>
      <c r="F1933" s="254"/>
      <c r="G1933" s="254"/>
      <c r="H1933" s="254"/>
      <c r="I1933" s="228"/>
      <c r="J1933" s="228"/>
      <c r="K1933" s="228"/>
      <c r="L1933"/>
      <c r="M1933"/>
    </row>
    <row r="1934" spans="1:13" s="5" customFormat="1" x14ac:dyDescent="0.25">
      <c r="A1934" s="251"/>
      <c r="B1934" s="255"/>
      <c r="C1934" s="255"/>
      <c r="D1934" s="255"/>
      <c r="E1934" s="255"/>
      <c r="F1934" s="254"/>
      <c r="G1934" s="254"/>
      <c r="H1934" s="254"/>
      <c r="I1934" s="228"/>
      <c r="J1934" s="228"/>
      <c r="K1934" s="228"/>
      <c r="L1934"/>
      <c r="M1934"/>
    </row>
    <row r="1935" spans="1:13" s="5" customFormat="1" x14ac:dyDescent="0.25">
      <c r="A1935" s="251"/>
      <c r="B1935" s="255"/>
      <c r="C1935" s="255"/>
      <c r="D1935" s="255"/>
      <c r="E1935" s="255"/>
      <c r="F1935" s="254"/>
      <c r="G1935" s="254"/>
      <c r="H1935" s="254"/>
      <c r="I1935" s="228"/>
      <c r="J1935" s="228"/>
      <c r="K1935" s="228"/>
      <c r="L1935"/>
      <c r="M1935"/>
    </row>
    <row r="1936" spans="1:13" s="5" customFormat="1" x14ac:dyDescent="0.25">
      <c r="A1936" s="251"/>
      <c r="B1936" s="255"/>
      <c r="C1936" s="255"/>
      <c r="D1936" s="255"/>
      <c r="E1936" s="255"/>
      <c r="F1936" s="254"/>
      <c r="G1936" s="254"/>
      <c r="H1936" s="254"/>
      <c r="I1936" s="228"/>
      <c r="J1936" s="228"/>
      <c r="K1936" s="228"/>
      <c r="L1936"/>
      <c r="M1936"/>
    </row>
    <row r="1937" spans="1:13" s="5" customFormat="1" x14ac:dyDescent="0.25">
      <c r="A1937" s="251"/>
      <c r="B1937" s="255"/>
      <c r="C1937" s="255"/>
      <c r="D1937" s="255"/>
      <c r="E1937" s="255"/>
      <c r="F1937" s="254"/>
      <c r="G1937" s="254"/>
      <c r="H1937" s="254"/>
      <c r="I1937" s="228"/>
      <c r="J1937" s="228"/>
      <c r="K1937" s="228"/>
      <c r="L1937"/>
      <c r="M1937"/>
    </row>
    <row r="1938" spans="1:13" s="5" customFormat="1" x14ac:dyDescent="0.25">
      <c r="A1938" s="251"/>
      <c r="B1938" s="255"/>
      <c r="C1938" s="255"/>
      <c r="D1938" s="255"/>
      <c r="E1938" s="255"/>
      <c r="F1938" s="254"/>
      <c r="G1938" s="254"/>
      <c r="H1938" s="254"/>
      <c r="I1938" s="228"/>
      <c r="J1938" s="228"/>
      <c r="K1938" s="228"/>
      <c r="L1938"/>
      <c r="M1938"/>
    </row>
    <row r="1939" spans="1:13" s="5" customFormat="1" x14ac:dyDescent="0.25">
      <c r="A1939" s="251"/>
      <c r="B1939" s="255"/>
      <c r="C1939" s="255"/>
      <c r="D1939" s="255"/>
      <c r="E1939" s="255"/>
      <c r="F1939" s="254"/>
      <c r="G1939" s="254"/>
      <c r="H1939" s="254"/>
      <c r="I1939" s="228"/>
      <c r="J1939" s="228"/>
      <c r="K1939" s="228"/>
      <c r="L1939"/>
      <c r="M1939"/>
    </row>
    <row r="1940" spans="1:13" s="5" customFormat="1" x14ac:dyDescent="0.25">
      <c r="A1940" s="251"/>
      <c r="B1940" s="255"/>
      <c r="C1940" s="255"/>
      <c r="D1940" s="255"/>
      <c r="E1940" s="255"/>
      <c r="F1940" s="254"/>
      <c r="G1940" s="254"/>
      <c r="H1940" s="254"/>
      <c r="I1940" s="228"/>
      <c r="J1940" s="228"/>
      <c r="K1940" s="228"/>
      <c r="L1940"/>
      <c r="M1940"/>
    </row>
    <row r="1941" spans="1:13" s="5" customFormat="1" x14ac:dyDescent="0.25">
      <c r="A1941" s="251"/>
      <c r="B1941" s="255"/>
      <c r="C1941" s="255"/>
      <c r="D1941" s="255"/>
      <c r="E1941" s="255"/>
      <c r="F1941" s="254"/>
      <c r="G1941" s="254"/>
      <c r="H1941" s="254"/>
      <c r="I1941" s="228"/>
      <c r="J1941" s="228"/>
      <c r="K1941" s="228"/>
      <c r="L1941"/>
      <c r="M1941"/>
    </row>
    <row r="1942" spans="1:13" s="5" customFormat="1" x14ac:dyDescent="0.25">
      <c r="A1942" s="251"/>
      <c r="B1942" s="255"/>
      <c r="C1942" s="255"/>
      <c r="D1942" s="255"/>
      <c r="E1942" s="255"/>
      <c r="F1942" s="254"/>
      <c r="G1942" s="254"/>
      <c r="H1942" s="254"/>
      <c r="I1942" s="228"/>
      <c r="J1942" s="228"/>
      <c r="K1942" s="228"/>
      <c r="L1942"/>
      <c r="M1942"/>
    </row>
    <row r="1943" spans="1:13" s="5" customFormat="1" x14ac:dyDescent="0.25">
      <c r="A1943" s="251"/>
      <c r="B1943" s="255"/>
      <c r="C1943" s="255"/>
      <c r="D1943" s="255"/>
      <c r="E1943" s="255"/>
      <c r="F1943" s="254"/>
      <c r="G1943" s="254"/>
      <c r="H1943" s="254"/>
      <c r="I1943" s="228"/>
      <c r="J1943" s="228"/>
      <c r="K1943" s="228"/>
      <c r="L1943"/>
      <c r="M1943"/>
    </row>
    <row r="1944" spans="1:13" s="5" customFormat="1" x14ac:dyDescent="0.25">
      <c r="A1944" s="251"/>
      <c r="B1944" s="255"/>
      <c r="C1944" s="255"/>
      <c r="D1944" s="255"/>
      <c r="E1944" s="255"/>
      <c r="F1944" s="254"/>
      <c r="G1944" s="254"/>
      <c r="H1944" s="254"/>
      <c r="I1944" s="228"/>
      <c r="J1944" s="228"/>
      <c r="K1944" s="228"/>
      <c r="L1944"/>
      <c r="M1944"/>
    </row>
    <row r="1945" spans="1:13" s="5" customFormat="1" x14ac:dyDescent="0.25">
      <c r="A1945" s="251"/>
      <c r="B1945" s="255"/>
      <c r="C1945" s="255"/>
      <c r="D1945" s="255"/>
      <c r="E1945" s="255"/>
      <c r="F1945" s="254"/>
      <c r="G1945" s="254"/>
      <c r="H1945" s="254"/>
      <c r="I1945" s="228"/>
      <c r="J1945" s="228"/>
      <c r="K1945" s="228"/>
      <c r="L1945"/>
      <c r="M1945"/>
    </row>
    <row r="1946" spans="1:13" s="5" customFormat="1" x14ac:dyDescent="0.25">
      <c r="A1946" s="251"/>
      <c r="B1946" s="255"/>
      <c r="C1946" s="255"/>
      <c r="D1946" s="255"/>
      <c r="E1946" s="255"/>
      <c r="F1946" s="254"/>
      <c r="G1946" s="254"/>
      <c r="H1946" s="254"/>
      <c r="I1946" s="228"/>
      <c r="J1946" s="228"/>
      <c r="K1946" s="228"/>
      <c r="L1946"/>
      <c r="M1946"/>
    </row>
    <row r="1947" spans="1:13" s="5" customFormat="1" x14ac:dyDescent="0.25">
      <c r="A1947" s="251"/>
      <c r="B1947" s="255"/>
      <c r="C1947" s="255"/>
      <c r="D1947" s="255"/>
      <c r="E1947" s="255"/>
      <c r="F1947" s="254"/>
      <c r="G1947" s="254"/>
      <c r="H1947" s="254"/>
      <c r="I1947" s="228"/>
      <c r="J1947" s="228"/>
      <c r="K1947" s="228"/>
      <c r="L1947"/>
      <c r="M1947"/>
    </row>
    <row r="1948" spans="1:13" s="5" customFormat="1" x14ac:dyDescent="0.25">
      <c r="A1948" s="251"/>
      <c r="B1948" s="255"/>
      <c r="C1948" s="255"/>
      <c r="D1948" s="255"/>
      <c r="E1948" s="255"/>
      <c r="F1948" s="254"/>
      <c r="G1948" s="254"/>
      <c r="H1948" s="254"/>
      <c r="I1948" s="228"/>
      <c r="J1948" s="228"/>
      <c r="K1948" s="228"/>
      <c r="L1948"/>
      <c r="M1948"/>
    </row>
    <row r="1949" spans="1:13" s="5" customFormat="1" x14ac:dyDescent="0.25">
      <c r="A1949" s="251"/>
      <c r="B1949" s="255"/>
      <c r="C1949" s="255"/>
      <c r="D1949" s="255"/>
      <c r="E1949" s="255"/>
      <c r="F1949" s="254"/>
      <c r="G1949" s="254"/>
      <c r="H1949" s="254"/>
      <c r="I1949" s="228"/>
      <c r="J1949" s="228"/>
      <c r="K1949" s="228"/>
      <c r="L1949"/>
      <c r="M1949"/>
    </row>
    <row r="1950" spans="1:13" s="5" customFormat="1" x14ac:dyDescent="0.25">
      <c r="A1950" s="251"/>
      <c r="B1950" s="255"/>
      <c r="C1950" s="255"/>
      <c r="D1950" s="255"/>
      <c r="E1950" s="255"/>
      <c r="F1950" s="254"/>
      <c r="G1950" s="254"/>
      <c r="H1950" s="254"/>
      <c r="I1950" s="228"/>
      <c r="J1950" s="228"/>
      <c r="K1950" s="228"/>
      <c r="L1950"/>
      <c r="M1950"/>
    </row>
    <row r="1951" spans="1:13" s="5" customFormat="1" x14ac:dyDescent="0.25">
      <c r="A1951" s="251"/>
      <c r="B1951" s="255"/>
      <c r="C1951" s="255"/>
      <c r="D1951" s="255"/>
      <c r="E1951" s="255"/>
      <c r="F1951" s="254"/>
      <c r="G1951" s="254"/>
      <c r="H1951" s="254"/>
      <c r="I1951" s="228"/>
      <c r="J1951" s="228"/>
      <c r="K1951" s="228"/>
      <c r="L1951"/>
      <c r="M1951"/>
    </row>
    <row r="1952" spans="1:13" s="5" customFormat="1" x14ac:dyDescent="0.25">
      <c r="A1952" s="251"/>
      <c r="B1952" s="255"/>
      <c r="C1952" s="255"/>
      <c r="D1952" s="255"/>
      <c r="E1952" s="255"/>
      <c r="F1952" s="254"/>
      <c r="G1952" s="254"/>
      <c r="H1952" s="254"/>
      <c r="I1952" s="228"/>
      <c r="J1952" s="228"/>
      <c r="K1952" s="228"/>
      <c r="L1952"/>
      <c r="M1952"/>
    </row>
    <row r="1953" spans="1:13" s="5" customFormat="1" x14ac:dyDescent="0.25">
      <c r="A1953" s="251"/>
      <c r="B1953" s="255"/>
      <c r="C1953" s="255"/>
      <c r="D1953" s="255"/>
      <c r="E1953" s="255"/>
      <c r="F1953" s="254"/>
      <c r="G1953" s="254"/>
      <c r="H1953" s="254"/>
      <c r="I1953" s="228"/>
      <c r="J1953" s="228"/>
      <c r="K1953" s="228"/>
      <c r="L1953"/>
      <c r="M1953"/>
    </row>
    <row r="1954" spans="1:13" s="5" customFormat="1" x14ac:dyDescent="0.25">
      <c r="A1954" s="251"/>
      <c r="B1954" s="255"/>
      <c r="C1954" s="255"/>
      <c r="D1954" s="255"/>
      <c r="E1954" s="255"/>
      <c r="F1954" s="254"/>
      <c r="G1954" s="254"/>
      <c r="H1954" s="254"/>
      <c r="I1954" s="228"/>
      <c r="J1954" s="228"/>
      <c r="K1954" s="228"/>
      <c r="L1954"/>
      <c r="M1954"/>
    </row>
    <row r="1955" spans="1:13" s="5" customFormat="1" x14ac:dyDescent="0.25">
      <c r="A1955" s="251"/>
      <c r="B1955" s="255"/>
      <c r="C1955" s="255"/>
      <c r="D1955" s="255"/>
      <c r="E1955" s="255"/>
      <c r="F1955" s="254"/>
      <c r="G1955" s="254"/>
      <c r="H1955" s="254"/>
      <c r="I1955" s="228"/>
      <c r="J1955" s="228"/>
      <c r="K1955" s="228"/>
      <c r="L1955"/>
      <c r="M1955"/>
    </row>
    <row r="1956" spans="1:13" s="5" customFormat="1" x14ac:dyDescent="0.25">
      <c r="A1956" s="251"/>
      <c r="B1956" s="255"/>
      <c r="C1956" s="255"/>
      <c r="D1956" s="255"/>
      <c r="E1956" s="255"/>
      <c r="F1956" s="254"/>
      <c r="G1956" s="254"/>
      <c r="H1956" s="254"/>
      <c r="I1956" s="228"/>
      <c r="J1956" s="228"/>
      <c r="K1956" s="228"/>
      <c r="L1956"/>
      <c r="M1956"/>
    </row>
    <row r="1957" spans="1:13" s="5" customFormat="1" x14ac:dyDescent="0.25">
      <c r="A1957" s="251"/>
      <c r="B1957" s="255"/>
      <c r="C1957" s="255"/>
      <c r="D1957" s="255"/>
      <c r="E1957" s="255"/>
      <c r="F1957" s="254"/>
      <c r="G1957" s="254"/>
      <c r="H1957" s="254"/>
      <c r="I1957" s="228"/>
      <c r="J1957" s="228"/>
      <c r="K1957" s="228"/>
      <c r="L1957"/>
      <c r="M1957"/>
    </row>
    <row r="1958" spans="1:13" s="5" customFormat="1" x14ac:dyDescent="0.25">
      <c r="A1958" s="251"/>
      <c r="B1958" s="255"/>
      <c r="C1958" s="255"/>
      <c r="D1958" s="255"/>
      <c r="E1958" s="255"/>
      <c r="F1958" s="254"/>
      <c r="G1958" s="254"/>
      <c r="H1958" s="254"/>
      <c r="I1958" s="228"/>
      <c r="J1958" s="228"/>
      <c r="K1958" s="228"/>
      <c r="L1958"/>
      <c r="M1958"/>
    </row>
    <row r="1959" spans="1:13" s="5" customFormat="1" x14ac:dyDescent="0.25">
      <c r="A1959" s="251"/>
      <c r="B1959" s="255"/>
      <c r="C1959" s="255"/>
      <c r="D1959" s="255"/>
      <c r="E1959" s="255"/>
      <c r="F1959" s="254"/>
      <c r="G1959" s="254"/>
      <c r="H1959" s="254"/>
      <c r="I1959" s="228"/>
      <c r="J1959" s="228"/>
      <c r="K1959" s="228"/>
      <c r="L1959"/>
      <c r="M1959"/>
    </row>
    <row r="1960" spans="1:13" s="5" customFormat="1" x14ac:dyDescent="0.25">
      <c r="A1960" s="251"/>
      <c r="B1960" s="255"/>
      <c r="C1960" s="255"/>
      <c r="D1960" s="255"/>
      <c r="E1960" s="255"/>
      <c r="F1960" s="254"/>
      <c r="G1960" s="254"/>
      <c r="H1960" s="254"/>
      <c r="I1960" s="228"/>
      <c r="J1960" s="228"/>
      <c r="K1960" s="228"/>
      <c r="L1960"/>
      <c r="M1960"/>
    </row>
    <row r="1961" spans="1:13" s="5" customFormat="1" x14ac:dyDescent="0.25">
      <c r="A1961" s="251"/>
      <c r="B1961" s="255"/>
      <c r="C1961" s="255"/>
      <c r="D1961" s="255"/>
      <c r="E1961" s="255"/>
      <c r="F1961" s="254"/>
      <c r="G1961" s="254"/>
      <c r="H1961" s="254"/>
      <c r="I1961" s="228"/>
      <c r="J1961" s="228"/>
      <c r="K1961" s="228"/>
      <c r="L1961"/>
      <c r="M1961"/>
    </row>
    <row r="1962" spans="1:13" s="5" customFormat="1" x14ac:dyDescent="0.25">
      <c r="A1962" s="251"/>
      <c r="B1962" s="255"/>
      <c r="C1962" s="255"/>
      <c r="D1962" s="255"/>
      <c r="E1962" s="255"/>
      <c r="F1962" s="254"/>
      <c r="G1962" s="254"/>
      <c r="H1962" s="254"/>
      <c r="I1962" s="228"/>
      <c r="J1962" s="228"/>
      <c r="K1962" s="228"/>
      <c r="L1962"/>
      <c r="M1962"/>
    </row>
    <row r="1963" spans="1:13" s="5" customFormat="1" x14ac:dyDescent="0.25">
      <c r="A1963" s="251"/>
      <c r="B1963" s="255"/>
      <c r="C1963" s="255"/>
      <c r="D1963" s="255"/>
      <c r="E1963" s="255"/>
      <c r="F1963" s="254"/>
      <c r="G1963" s="254"/>
      <c r="H1963" s="254"/>
      <c r="I1963" s="228"/>
      <c r="J1963" s="228"/>
      <c r="K1963" s="228"/>
      <c r="L1963"/>
      <c r="M1963"/>
    </row>
    <row r="1964" spans="1:13" s="5" customFormat="1" x14ac:dyDescent="0.25">
      <c r="A1964" s="251"/>
      <c r="B1964" s="255"/>
      <c r="C1964" s="255"/>
      <c r="D1964" s="255"/>
      <c r="E1964" s="255"/>
      <c r="F1964" s="254"/>
      <c r="G1964" s="254"/>
      <c r="H1964" s="254"/>
      <c r="I1964" s="228"/>
      <c r="J1964" s="228"/>
      <c r="K1964" s="228"/>
      <c r="L1964"/>
      <c r="M1964"/>
    </row>
    <row r="1965" spans="1:13" s="5" customFormat="1" x14ac:dyDescent="0.25">
      <c r="A1965" s="251"/>
      <c r="B1965" s="255"/>
      <c r="C1965" s="255"/>
      <c r="D1965" s="255"/>
      <c r="E1965" s="255"/>
      <c r="F1965" s="254"/>
      <c r="G1965" s="254"/>
      <c r="H1965" s="254"/>
      <c r="I1965" s="228"/>
      <c r="J1965" s="228"/>
      <c r="K1965" s="228"/>
      <c r="L1965"/>
      <c r="M1965"/>
    </row>
    <row r="1966" spans="1:13" s="5" customFormat="1" x14ac:dyDescent="0.25">
      <c r="A1966" s="251"/>
      <c r="B1966" s="255"/>
      <c r="C1966" s="255"/>
      <c r="D1966" s="255"/>
      <c r="E1966" s="255"/>
      <c r="F1966" s="254"/>
      <c r="G1966" s="254"/>
      <c r="H1966" s="254"/>
      <c r="I1966" s="228"/>
      <c r="J1966" s="228"/>
      <c r="K1966" s="228"/>
      <c r="L1966"/>
      <c r="M1966"/>
    </row>
    <row r="1967" spans="1:13" s="5" customFormat="1" x14ac:dyDescent="0.25">
      <c r="A1967" s="251"/>
      <c r="B1967" s="255"/>
      <c r="C1967" s="255"/>
      <c r="D1967" s="255"/>
      <c r="E1967" s="255"/>
      <c r="F1967" s="254"/>
      <c r="G1967" s="254"/>
      <c r="H1967" s="254"/>
      <c r="I1967" s="228"/>
      <c r="J1967" s="228"/>
      <c r="K1967" s="228"/>
      <c r="L1967"/>
      <c r="M1967"/>
    </row>
    <row r="1968" spans="1:13" s="5" customFormat="1" x14ac:dyDescent="0.25">
      <c r="A1968" s="251"/>
      <c r="B1968" s="255"/>
      <c r="C1968" s="255"/>
      <c r="D1968" s="255"/>
      <c r="E1968" s="255"/>
      <c r="F1968" s="254"/>
      <c r="G1968" s="254"/>
      <c r="H1968" s="254"/>
      <c r="I1968" s="228"/>
      <c r="J1968" s="228"/>
      <c r="K1968" s="228"/>
      <c r="L1968"/>
      <c r="M1968"/>
    </row>
    <row r="1969" spans="1:13" s="5" customFormat="1" x14ac:dyDescent="0.25">
      <c r="A1969" s="251"/>
      <c r="B1969" s="255"/>
      <c r="C1969" s="255"/>
      <c r="D1969" s="255"/>
      <c r="E1969" s="255"/>
      <c r="F1969" s="254"/>
      <c r="G1969" s="254"/>
      <c r="H1969" s="254"/>
      <c r="I1969" s="228"/>
      <c r="J1969" s="228"/>
      <c r="K1969" s="228"/>
      <c r="L1969"/>
      <c r="M1969"/>
    </row>
    <row r="1970" spans="1:13" s="5" customFormat="1" x14ac:dyDescent="0.25">
      <c r="A1970" s="251"/>
      <c r="B1970" s="255"/>
      <c r="C1970" s="255"/>
      <c r="D1970" s="255"/>
      <c r="E1970" s="255"/>
      <c r="F1970" s="254"/>
      <c r="G1970" s="254"/>
      <c r="H1970" s="254"/>
      <c r="I1970" s="228"/>
      <c r="J1970" s="228"/>
      <c r="K1970" s="228"/>
      <c r="L1970"/>
      <c r="M1970"/>
    </row>
    <row r="1971" spans="1:13" s="5" customFormat="1" x14ac:dyDescent="0.25">
      <c r="A1971" s="251"/>
      <c r="B1971" s="255"/>
      <c r="C1971" s="255"/>
      <c r="D1971" s="255"/>
      <c r="E1971" s="255"/>
      <c r="F1971" s="254"/>
      <c r="G1971" s="254"/>
      <c r="H1971" s="254"/>
      <c r="I1971" s="228"/>
      <c r="J1971" s="228"/>
      <c r="K1971" s="228"/>
      <c r="L1971"/>
      <c r="M1971"/>
    </row>
    <row r="1972" spans="1:13" s="5" customFormat="1" x14ac:dyDescent="0.25">
      <c r="A1972" s="251"/>
      <c r="B1972" s="255"/>
      <c r="C1972" s="255"/>
      <c r="D1972" s="255"/>
      <c r="E1972" s="255"/>
      <c r="F1972" s="254"/>
      <c r="G1972" s="254"/>
      <c r="H1972" s="254"/>
      <c r="I1972" s="228"/>
      <c r="J1972" s="228"/>
      <c r="K1972" s="228"/>
      <c r="L1972"/>
      <c r="M1972"/>
    </row>
    <row r="1973" spans="1:13" s="5" customFormat="1" x14ac:dyDescent="0.25">
      <c r="A1973" s="251"/>
      <c r="B1973" s="255"/>
      <c r="C1973" s="255"/>
      <c r="D1973" s="255"/>
      <c r="E1973" s="255"/>
      <c r="F1973" s="254"/>
      <c r="G1973" s="254"/>
      <c r="H1973" s="254"/>
      <c r="I1973" s="228"/>
      <c r="J1973" s="228"/>
      <c r="K1973" s="228"/>
      <c r="L1973"/>
      <c r="M1973"/>
    </row>
    <row r="1974" spans="1:13" s="5" customFormat="1" x14ac:dyDescent="0.25">
      <c r="A1974" s="251"/>
      <c r="B1974" s="255"/>
      <c r="C1974" s="255"/>
      <c r="D1974" s="255"/>
      <c r="E1974" s="255"/>
      <c r="F1974" s="254"/>
      <c r="G1974" s="254"/>
      <c r="H1974" s="254"/>
      <c r="I1974" s="228"/>
      <c r="J1974" s="228"/>
      <c r="K1974" s="228"/>
      <c r="L1974"/>
      <c r="M1974"/>
    </row>
    <row r="1975" spans="1:13" s="5" customFormat="1" x14ac:dyDescent="0.25">
      <c r="A1975" s="251"/>
      <c r="B1975" s="255"/>
      <c r="C1975" s="255"/>
      <c r="D1975" s="255"/>
      <c r="E1975" s="255"/>
      <c r="F1975" s="254"/>
      <c r="G1975" s="254"/>
      <c r="H1975" s="254"/>
      <c r="I1975" s="228"/>
      <c r="J1975" s="228"/>
      <c r="K1975" s="228"/>
      <c r="L1975"/>
      <c r="M1975"/>
    </row>
    <row r="1976" spans="1:13" s="5" customFormat="1" x14ac:dyDescent="0.25">
      <c r="A1976" s="251"/>
      <c r="B1976" s="255"/>
      <c r="C1976" s="255"/>
      <c r="D1976" s="255"/>
      <c r="E1976" s="255"/>
      <c r="F1976" s="254"/>
      <c r="G1976" s="254"/>
      <c r="H1976" s="254"/>
      <c r="I1976" s="228"/>
      <c r="J1976" s="228"/>
      <c r="K1976" s="228"/>
      <c r="L1976"/>
      <c r="M1976"/>
    </row>
    <row r="1977" spans="1:13" s="5" customFormat="1" x14ac:dyDescent="0.25">
      <c r="A1977" s="251"/>
      <c r="B1977" s="255"/>
      <c r="C1977" s="255"/>
      <c r="D1977" s="255"/>
      <c r="E1977" s="255"/>
      <c r="F1977" s="254"/>
      <c r="G1977" s="254"/>
      <c r="H1977" s="254"/>
      <c r="I1977" s="228"/>
      <c r="J1977" s="228"/>
      <c r="K1977" s="228"/>
      <c r="L1977"/>
      <c r="M1977"/>
    </row>
    <row r="1978" spans="1:13" s="5" customFormat="1" x14ac:dyDescent="0.25">
      <c r="A1978" s="251"/>
      <c r="B1978" s="255"/>
      <c r="C1978" s="255"/>
      <c r="D1978" s="255"/>
      <c r="E1978" s="255"/>
      <c r="F1978" s="254"/>
      <c r="G1978" s="254"/>
      <c r="H1978" s="254"/>
      <c r="I1978" s="228"/>
      <c r="J1978" s="228"/>
      <c r="K1978" s="228"/>
      <c r="L1978"/>
      <c r="M1978"/>
    </row>
    <row r="1979" spans="1:13" s="5" customFormat="1" x14ac:dyDescent="0.25">
      <c r="A1979" s="251"/>
      <c r="B1979" s="255"/>
      <c r="C1979" s="255"/>
      <c r="D1979" s="255"/>
      <c r="E1979" s="255"/>
      <c r="F1979" s="254"/>
      <c r="G1979" s="254"/>
      <c r="H1979" s="254"/>
      <c r="I1979" s="228"/>
      <c r="J1979" s="228"/>
      <c r="K1979" s="228"/>
      <c r="L1979"/>
      <c r="M1979"/>
    </row>
    <row r="1980" spans="1:13" s="5" customFormat="1" x14ac:dyDescent="0.25">
      <c r="A1980" s="251"/>
      <c r="B1980" s="255"/>
      <c r="C1980" s="255"/>
      <c r="D1980" s="255"/>
      <c r="E1980" s="255"/>
      <c r="F1980" s="254"/>
      <c r="G1980" s="254"/>
      <c r="H1980" s="254"/>
      <c r="I1980" s="228"/>
      <c r="J1980" s="228"/>
      <c r="K1980" s="228"/>
      <c r="L1980"/>
      <c r="M1980"/>
    </row>
    <row r="1981" spans="1:13" s="5" customFormat="1" x14ac:dyDescent="0.25">
      <c r="A1981" s="251"/>
      <c r="B1981" s="255"/>
      <c r="C1981" s="255"/>
      <c r="D1981" s="255"/>
      <c r="E1981" s="255"/>
      <c r="F1981" s="254"/>
      <c r="G1981" s="254"/>
      <c r="H1981" s="254"/>
      <c r="I1981" s="228"/>
      <c r="J1981" s="228"/>
      <c r="K1981" s="228"/>
      <c r="L1981"/>
      <c r="M1981"/>
    </row>
    <row r="1982" spans="1:13" s="5" customFormat="1" x14ac:dyDescent="0.25">
      <c r="A1982" s="251"/>
      <c r="B1982" s="255"/>
      <c r="C1982" s="255"/>
      <c r="D1982" s="255"/>
      <c r="E1982" s="255"/>
      <c r="F1982" s="254"/>
      <c r="G1982" s="254"/>
      <c r="H1982" s="254"/>
      <c r="I1982" s="228"/>
      <c r="J1982" s="228"/>
      <c r="K1982" s="228"/>
      <c r="L1982"/>
      <c r="M1982"/>
    </row>
    <row r="1983" spans="1:13" s="5" customFormat="1" x14ac:dyDescent="0.25">
      <c r="A1983" s="251"/>
      <c r="B1983" s="255"/>
      <c r="C1983" s="255"/>
      <c r="D1983" s="255"/>
      <c r="E1983" s="255"/>
      <c r="F1983" s="254"/>
      <c r="G1983" s="254"/>
      <c r="H1983" s="254"/>
      <c r="I1983" s="228"/>
      <c r="J1983" s="228"/>
      <c r="K1983" s="228"/>
      <c r="L1983"/>
      <c r="M1983"/>
    </row>
    <row r="1984" spans="1:13" s="5" customFormat="1" x14ac:dyDescent="0.25">
      <c r="A1984" s="251"/>
      <c r="B1984" s="255"/>
      <c r="C1984" s="255"/>
      <c r="D1984" s="255"/>
      <c r="E1984" s="255"/>
      <c r="F1984" s="254"/>
      <c r="G1984" s="254"/>
      <c r="H1984" s="254"/>
      <c r="I1984" s="228"/>
      <c r="J1984" s="228"/>
      <c r="K1984" s="228"/>
      <c r="L1984"/>
      <c r="M1984"/>
    </row>
    <row r="1985" spans="1:13" s="5" customFormat="1" x14ac:dyDescent="0.25">
      <c r="A1985" s="251"/>
      <c r="B1985" s="255"/>
      <c r="C1985" s="255"/>
      <c r="D1985" s="255"/>
      <c r="E1985" s="255"/>
      <c r="F1985" s="254"/>
      <c r="G1985" s="254"/>
      <c r="H1985" s="254"/>
      <c r="I1985" s="228"/>
      <c r="J1985" s="228"/>
      <c r="K1985" s="228"/>
      <c r="L1985"/>
      <c r="M1985"/>
    </row>
    <row r="1986" spans="1:13" s="5" customFormat="1" x14ac:dyDescent="0.25">
      <c r="A1986" s="251"/>
      <c r="B1986" s="255"/>
      <c r="C1986" s="255"/>
      <c r="D1986" s="255"/>
      <c r="E1986" s="255"/>
      <c r="F1986" s="254"/>
      <c r="G1986" s="254"/>
      <c r="H1986" s="254"/>
      <c r="I1986" s="228"/>
      <c r="J1986" s="228"/>
      <c r="K1986" s="228"/>
      <c r="L1986"/>
      <c r="M1986"/>
    </row>
    <row r="1987" spans="1:13" s="5" customFormat="1" x14ac:dyDescent="0.25">
      <c r="A1987" s="251"/>
      <c r="B1987" s="255"/>
      <c r="C1987" s="255"/>
      <c r="D1987" s="255"/>
      <c r="E1987" s="255"/>
      <c r="F1987" s="254"/>
      <c r="G1987" s="254"/>
      <c r="H1987" s="254"/>
      <c r="I1987" s="228"/>
      <c r="J1987" s="228"/>
      <c r="K1987" s="228"/>
      <c r="L1987"/>
      <c r="M1987"/>
    </row>
    <row r="1988" spans="1:13" s="5" customFormat="1" x14ac:dyDescent="0.25">
      <c r="A1988" s="251"/>
      <c r="B1988" s="255"/>
      <c r="C1988" s="255"/>
      <c r="D1988" s="255"/>
      <c r="E1988" s="255"/>
      <c r="F1988" s="254"/>
      <c r="G1988" s="254"/>
      <c r="H1988" s="254"/>
      <c r="I1988" s="228"/>
      <c r="J1988" s="228"/>
      <c r="K1988" s="228"/>
      <c r="L1988"/>
      <c r="M1988"/>
    </row>
    <row r="1989" spans="1:13" s="5" customFormat="1" x14ac:dyDescent="0.25">
      <c r="A1989" s="251"/>
      <c r="B1989" s="255"/>
      <c r="C1989" s="255"/>
      <c r="D1989" s="255"/>
      <c r="E1989" s="255"/>
      <c r="F1989" s="254"/>
      <c r="G1989" s="254"/>
      <c r="H1989" s="254"/>
      <c r="I1989" s="228"/>
      <c r="J1989" s="228"/>
      <c r="K1989" s="228"/>
      <c r="L1989"/>
      <c r="M1989"/>
    </row>
    <row r="1990" spans="1:13" s="5" customFormat="1" x14ac:dyDescent="0.25">
      <c r="A1990" s="251"/>
      <c r="B1990" s="255"/>
      <c r="C1990" s="255"/>
      <c r="D1990" s="255"/>
      <c r="E1990" s="255"/>
      <c r="F1990" s="254"/>
      <c r="G1990" s="254"/>
      <c r="H1990" s="254"/>
      <c r="I1990" s="228"/>
      <c r="J1990" s="228"/>
      <c r="K1990" s="228"/>
      <c r="L1990"/>
      <c r="M1990"/>
    </row>
    <row r="1991" spans="1:13" s="5" customFormat="1" x14ac:dyDescent="0.25">
      <c r="A1991" s="251"/>
      <c r="B1991" s="255"/>
      <c r="C1991" s="255"/>
      <c r="D1991" s="255"/>
      <c r="E1991" s="255"/>
      <c r="F1991" s="254"/>
      <c r="G1991" s="254"/>
      <c r="H1991" s="254"/>
      <c r="I1991" s="228"/>
      <c r="J1991" s="228"/>
      <c r="K1991" s="228"/>
      <c r="L1991"/>
      <c r="M1991"/>
    </row>
    <row r="1992" spans="1:13" s="5" customFormat="1" x14ac:dyDescent="0.25">
      <c r="A1992" s="251"/>
      <c r="B1992" s="255"/>
      <c r="C1992" s="255"/>
      <c r="D1992" s="255"/>
      <c r="E1992" s="255"/>
      <c r="F1992" s="254"/>
      <c r="G1992" s="254"/>
      <c r="H1992" s="254"/>
      <c r="I1992" s="228"/>
      <c r="J1992" s="228"/>
      <c r="K1992" s="228"/>
      <c r="L1992"/>
      <c r="M1992"/>
    </row>
    <row r="1993" spans="1:13" s="5" customFormat="1" x14ac:dyDescent="0.25">
      <c r="A1993" s="251"/>
      <c r="B1993" s="255"/>
      <c r="C1993" s="255"/>
      <c r="D1993" s="255"/>
      <c r="E1993" s="255"/>
      <c r="F1993" s="254"/>
      <c r="G1993" s="254"/>
      <c r="H1993" s="254"/>
      <c r="I1993" s="228"/>
      <c r="J1993" s="228"/>
      <c r="K1993" s="228"/>
      <c r="L1993"/>
      <c r="M1993"/>
    </row>
    <row r="1994" spans="1:13" s="5" customFormat="1" x14ac:dyDescent="0.25">
      <c r="A1994" s="251"/>
      <c r="B1994" s="255"/>
      <c r="C1994" s="255"/>
      <c r="D1994" s="255"/>
      <c r="E1994" s="255"/>
      <c r="F1994" s="254"/>
      <c r="G1994" s="254"/>
      <c r="H1994" s="254"/>
      <c r="I1994" s="228"/>
      <c r="J1994" s="228"/>
      <c r="K1994" s="228"/>
      <c r="L1994"/>
      <c r="M1994"/>
    </row>
    <row r="1995" spans="1:13" s="5" customFormat="1" x14ac:dyDescent="0.25">
      <c r="A1995" s="251"/>
      <c r="B1995" s="255"/>
      <c r="C1995" s="255"/>
      <c r="D1995" s="255"/>
      <c r="E1995" s="255"/>
      <c r="F1995" s="254"/>
      <c r="G1995" s="254"/>
      <c r="H1995" s="254"/>
      <c r="I1995" s="228"/>
      <c r="J1995" s="228"/>
      <c r="K1995" s="228"/>
      <c r="L1995"/>
      <c r="M1995"/>
    </row>
    <row r="1996" spans="1:13" s="5" customFormat="1" x14ac:dyDescent="0.25">
      <c r="A1996" s="251"/>
      <c r="B1996" s="255"/>
      <c r="C1996" s="255"/>
      <c r="D1996" s="255"/>
      <c r="E1996" s="255"/>
      <c r="F1996" s="254"/>
      <c r="G1996" s="254"/>
      <c r="H1996" s="254"/>
      <c r="I1996" s="228"/>
      <c r="J1996" s="228"/>
      <c r="K1996" s="228"/>
      <c r="L1996"/>
      <c r="M1996"/>
    </row>
    <row r="1997" spans="1:13" s="5" customFormat="1" x14ac:dyDescent="0.25">
      <c r="A1997" s="251"/>
      <c r="B1997" s="255"/>
      <c r="C1997" s="255"/>
      <c r="D1997" s="255"/>
      <c r="E1997" s="255"/>
      <c r="F1997" s="254"/>
      <c r="G1997" s="254"/>
      <c r="H1997" s="254"/>
      <c r="I1997" s="228"/>
      <c r="J1997" s="228"/>
      <c r="K1997" s="228"/>
      <c r="L1997"/>
      <c r="M1997"/>
    </row>
    <row r="1998" spans="1:13" s="5" customFormat="1" x14ac:dyDescent="0.25">
      <c r="A1998" s="251"/>
      <c r="B1998" s="255"/>
      <c r="C1998" s="255"/>
      <c r="D1998" s="255"/>
      <c r="E1998" s="255"/>
      <c r="F1998" s="254"/>
      <c r="G1998" s="254"/>
      <c r="H1998" s="254"/>
      <c r="I1998" s="228"/>
      <c r="J1998" s="228"/>
      <c r="K1998" s="228"/>
      <c r="L1998"/>
      <c r="M1998"/>
    </row>
    <row r="1999" spans="1:13" s="5" customFormat="1" x14ac:dyDescent="0.25">
      <c r="A1999" s="251"/>
      <c r="B1999" s="255"/>
      <c r="C1999" s="255"/>
      <c r="D1999" s="255"/>
      <c r="E1999" s="255"/>
      <c r="F1999" s="254"/>
      <c r="G1999" s="254"/>
      <c r="H1999" s="254"/>
      <c r="I1999" s="228"/>
      <c r="J1999" s="228"/>
      <c r="K1999" s="228"/>
      <c r="L1999"/>
      <c r="M1999"/>
    </row>
    <row r="2000" spans="1:13" s="5" customFormat="1" x14ac:dyDescent="0.25">
      <c r="A2000" s="251"/>
      <c r="B2000" s="255"/>
      <c r="C2000" s="255"/>
      <c r="D2000" s="255"/>
      <c r="E2000" s="255"/>
      <c r="F2000" s="254"/>
      <c r="G2000" s="254"/>
      <c r="H2000" s="254"/>
      <c r="I2000" s="228"/>
      <c r="J2000" s="228"/>
      <c r="K2000" s="228"/>
      <c r="L2000"/>
      <c r="M2000"/>
    </row>
    <row r="2001" spans="1:13" s="5" customFormat="1" x14ac:dyDescent="0.25">
      <c r="A2001" s="251"/>
      <c r="B2001" s="255"/>
      <c r="C2001" s="255"/>
      <c r="D2001" s="255"/>
      <c r="E2001" s="255"/>
      <c r="F2001" s="254"/>
      <c r="G2001" s="254"/>
      <c r="H2001" s="254"/>
      <c r="I2001" s="228"/>
      <c r="J2001" s="228"/>
      <c r="K2001" s="228"/>
      <c r="L2001"/>
      <c r="M2001"/>
    </row>
    <row r="2002" spans="1:13" s="123" customFormat="1" x14ac:dyDescent="0.25">
      <c r="A2002" s="251"/>
      <c r="B2002" s="255"/>
      <c r="C2002" s="255"/>
      <c r="D2002" s="255"/>
      <c r="E2002" s="255"/>
      <c r="F2002" s="254"/>
      <c r="G2002" s="254"/>
      <c r="H2002" s="254"/>
      <c r="I2002" s="228"/>
      <c r="J2002" s="228"/>
      <c r="K2002" s="228"/>
      <c r="L2002"/>
      <c r="M2002"/>
    </row>
    <row r="2003" spans="1:13" s="123" customFormat="1" x14ac:dyDescent="0.25">
      <c r="A2003" s="251"/>
      <c r="B2003" s="255"/>
      <c r="C2003" s="255"/>
      <c r="D2003" s="255"/>
      <c r="E2003" s="255"/>
      <c r="F2003" s="254"/>
      <c r="G2003" s="254"/>
      <c r="H2003" s="254"/>
      <c r="I2003" s="228"/>
      <c r="J2003" s="228"/>
      <c r="K2003" s="228"/>
      <c r="L2003"/>
      <c r="M2003"/>
    </row>
    <row r="2004" spans="1:13" s="123" customFormat="1" x14ac:dyDescent="0.25">
      <c r="A2004" s="251"/>
      <c r="B2004" s="255"/>
      <c r="C2004" s="255"/>
      <c r="D2004" s="255"/>
      <c r="E2004" s="255"/>
      <c r="F2004" s="254"/>
      <c r="G2004" s="254"/>
      <c r="H2004" s="254"/>
      <c r="I2004" s="228"/>
      <c r="J2004" s="228"/>
      <c r="K2004" s="228"/>
      <c r="L2004"/>
      <c r="M2004"/>
    </row>
    <row r="2005" spans="1:13" s="123" customFormat="1" x14ac:dyDescent="0.25">
      <c r="A2005" s="251"/>
      <c r="B2005" s="255"/>
      <c r="C2005" s="255"/>
      <c r="D2005" s="255"/>
      <c r="E2005" s="255"/>
      <c r="F2005" s="254"/>
      <c r="G2005" s="254"/>
      <c r="H2005" s="254"/>
      <c r="I2005" s="228"/>
      <c r="J2005" s="228"/>
      <c r="K2005" s="228"/>
      <c r="L2005"/>
      <c r="M2005"/>
    </row>
    <row r="2006" spans="1:13" s="123" customFormat="1" x14ac:dyDescent="0.25">
      <c r="A2006" s="251"/>
      <c r="B2006" s="255"/>
      <c r="C2006" s="255"/>
      <c r="D2006" s="255"/>
      <c r="E2006" s="255"/>
      <c r="F2006" s="254"/>
      <c r="G2006" s="254"/>
      <c r="H2006" s="254"/>
      <c r="I2006" s="228"/>
      <c r="J2006" s="228"/>
      <c r="K2006" s="228"/>
      <c r="L2006"/>
      <c r="M2006"/>
    </row>
    <row r="2007" spans="1:13" s="123" customFormat="1" x14ac:dyDescent="0.25">
      <c r="A2007" s="251"/>
      <c r="B2007" s="255"/>
      <c r="C2007" s="255"/>
      <c r="D2007" s="255"/>
      <c r="E2007" s="255"/>
      <c r="F2007" s="254"/>
      <c r="G2007" s="254"/>
      <c r="H2007" s="254"/>
      <c r="I2007" s="228"/>
      <c r="J2007" s="228"/>
      <c r="K2007" s="228"/>
      <c r="L2007"/>
      <c r="M2007"/>
    </row>
    <row r="2008" spans="1:13" s="125" customFormat="1" x14ac:dyDescent="0.25">
      <c r="A2008" s="251"/>
      <c r="B2008" s="255"/>
      <c r="C2008" s="255"/>
      <c r="D2008" s="255"/>
      <c r="E2008" s="255"/>
      <c r="F2008" s="254"/>
      <c r="G2008" s="254"/>
      <c r="H2008" s="254"/>
      <c r="I2008" s="228"/>
      <c r="J2008" s="228"/>
      <c r="K2008" s="228"/>
      <c r="L2008"/>
      <c r="M2008"/>
    </row>
    <row r="2009" spans="1:13" s="125" customFormat="1" x14ac:dyDescent="0.25">
      <c r="A2009" s="251"/>
      <c r="B2009" s="255"/>
      <c r="C2009" s="255"/>
      <c r="D2009" s="255"/>
      <c r="E2009" s="255"/>
      <c r="F2009" s="254"/>
      <c r="G2009" s="254"/>
      <c r="H2009" s="254"/>
      <c r="I2009" s="228"/>
      <c r="J2009" s="228"/>
      <c r="K2009" s="228"/>
      <c r="L2009"/>
      <c r="M2009"/>
    </row>
    <row r="2010" spans="1:13" s="125" customFormat="1" x14ac:dyDescent="0.25">
      <c r="A2010" s="251"/>
      <c r="B2010" s="255"/>
      <c r="C2010" s="255"/>
      <c r="D2010" s="255"/>
      <c r="E2010" s="255"/>
      <c r="F2010" s="254"/>
      <c r="G2010" s="254"/>
      <c r="H2010" s="254"/>
      <c r="I2010" s="228"/>
      <c r="J2010" s="228"/>
      <c r="K2010" s="228"/>
      <c r="L2010"/>
      <c r="M2010"/>
    </row>
    <row r="2011" spans="1:13" s="125" customFormat="1" x14ac:dyDescent="0.25">
      <c r="A2011" s="251"/>
      <c r="B2011" s="255"/>
      <c r="C2011" s="255"/>
      <c r="D2011" s="255"/>
      <c r="E2011" s="255"/>
      <c r="F2011" s="254"/>
      <c r="G2011" s="254"/>
      <c r="H2011" s="254"/>
      <c r="I2011" s="228"/>
      <c r="J2011" s="228"/>
      <c r="K2011" s="228"/>
      <c r="L2011"/>
      <c r="M2011"/>
    </row>
    <row r="2012" spans="1:13" s="125" customFormat="1" x14ac:dyDescent="0.25">
      <c r="A2012" s="251"/>
      <c r="B2012" s="255"/>
      <c r="C2012" s="255"/>
      <c r="D2012" s="255"/>
      <c r="E2012" s="255"/>
      <c r="F2012" s="254"/>
      <c r="G2012" s="254"/>
      <c r="H2012" s="254"/>
      <c r="I2012" s="228"/>
      <c r="J2012" s="228"/>
      <c r="K2012" s="228"/>
      <c r="L2012"/>
      <c r="M2012"/>
    </row>
    <row r="2013" spans="1:13" s="125" customFormat="1" x14ac:dyDescent="0.25">
      <c r="A2013" s="251"/>
      <c r="B2013" s="255"/>
      <c r="C2013" s="255"/>
      <c r="D2013" s="255"/>
      <c r="E2013" s="255"/>
      <c r="F2013" s="254"/>
      <c r="G2013" s="254"/>
      <c r="H2013" s="254"/>
      <c r="I2013" s="228"/>
      <c r="J2013" s="228"/>
      <c r="K2013" s="228"/>
      <c r="L2013"/>
      <c r="M2013"/>
    </row>
    <row r="2014" spans="1:13" s="125" customFormat="1" x14ac:dyDescent="0.25">
      <c r="A2014" s="251"/>
      <c r="B2014" s="255"/>
      <c r="C2014" s="255"/>
      <c r="D2014" s="255"/>
      <c r="E2014" s="255"/>
      <c r="F2014" s="254"/>
      <c r="G2014" s="254"/>
      <c r="H2014" s="254"/>
      <c r="I2014" s="228"/>
      <c r="J2014" s="228"/>
      <c r="K2014" s="228"/>
      <c r="L2014"/>
      <c r="M2014"/>
    </row>
    <row r="2015" spans="1:13" s="125" customFormat="1" x14ac:dyDescent="0.25">
      <c r="A2015" s="251"/>
      <c r="B2015" s="255"/>
      <c r="C2015" s="255"/>
      <c r="D2015" s="255"/>
      <c r="E2015" s="255"/>
      <c r="F2015" s="254"/>
      <c r="G2015" s="254"/>
      <c r="H2015" s="254"/>
      <c r="I2015" s="228"/>
      <c r="J2015" s="228"/>
      <c r="K2015" s="228"/>
      <c r="L2015"/>
      <c r="M2015"/>
    </row>
    <row r="2016" spans="1:13" s="125" customFormat="1" x14ac:dyDescent="0.25">
      <c r="A2016" s="251"/>
      <c r="B2016" s="255"/>
      <c r="C2016" s="255"/>
      <c r="D2016" s="255"/>
      <c r="E2016" s="255"/>
      <c r="F2016" s="254"/>
      <c r="G2016" s="254"/>
      <c r="H2016" s="254"/>
      <c r="I2016" s="228"/>
      <c r="J2016" s="228"/>
      <c r="K2016" s="228"/>
      <c r="L2016"/>
      <c r="M2016"/>
    </row>
    <row r="2017" spans="1:13" s="125" customFormat="1" x14ac:dyDescent="0.25">
      <c r="A2017" s="251"/>
      <c r="B2017" s="255"/>
      <c r="C2017" s="255"/>
      <c r="D2017" s="255"/>
      <c r="E2017" s="255"/>
      <c r="F2017" s="254"/>
      <c r="G2017" s="254"/>
      <c r="H2017" s="254"/>
      <c r="I2017" s="228"/>
      <c r="J2017" s="228"/>
      <c r="K2017" s="228"/>
      <c r="L2017"/>
      <c r="M2017"/>
    </row>
    <row r="2018" spans="1:13" s="125" customFormat="1" x14ac:dyDescent="0.25">
      <c r="A2018" s="251"/>
      <c r="B2018" s="255"/>
      <c r="C2018" s="255"/>
      <c r="D2018" s="255"/>
      <c r="E2018" s="255"/>
      <c r="F2018" s="254"/>
      <c r="G2018" s="254"/>
      <c r="H2018" s="254"/>
      <c r="I2018" s="228"/>
      <c r="J2018" s="228"/>
      <c r="K2018" s="228"/>
      <c r="L2018"/>
      <c r="M2018"/>
    </row>
    <row r="2019" spans="1:13" s="125" customFormat="1" x14ac:dyDescent="0.25">
      <c r="A2019" s="251"/>
      <c r="B2019" s="255"/>
      <c r="C2019" s="255"/>
      <c r="D2019" s="255"/>
      <c r="E2019" s="255"/>
      <c r="F2019" s="254"/>
      <c r="G2019" s="254"/>
      <c r="H2019" s="254"/>
      <c r="I2019" s="228"/>
      <c r="J2019" s="228"/>
      <c r="K2019" s="228"/>
      <c r="L2019"/>
      <c r="M2019"/>
    </row>
    <row r="2020" spans="1:13" s="125" customFormat="1" x14ac:dyDescent="0.25">
      <c r="A2020" s="251"/>
      <c r="B2020" s="255"/>
      <c r="C2020" s="255"/>
      <c r="D2020" s="255"/>
      <c r="E2020" s="255"/>
      <c r="F2020" s="254"/>
      <c r="G2020" s="254"/>
      <c r="H2020" s="254"/>
      <c r="I2020" s="228"/>
      <c r="J2020" s="228"/>
      <c r="K2020" s="228"/>
      <c r="L2020"/>
      <c r="M2020"/>
    </row>
    <row r="2021" spans="1:13" s="125" customFormat="1" x14ac:dyDescent="0.25">
      <c r="A2021" s="251"/>
      <c r="B2021" s="255"/>
      <c r="C2021" s="255"/>
      <c r="D2021" s="255"/>
      <c r="E2021" s="255"/>
      <c r="F2021" s="254"/>
      <c r="G2021" s="254"/>
      <c r="H2021" s="254"/>
      <c r="I2021" s="228"/>
      <c r="J2021" s="228"/>
      <c r="K2021" s="228"/>
      <c r="L2021"/>
      <c r="M2021"/>
    </row>
    <row r="2022" spans="1:13" s="125" customFormat="1" x14ac:dyDescent="0.25">
      <c r="A2022" s="251"/>
      <c r="B2022" s="255"/>
      <c r="C2022" s="255"/>
      <c r="D2022" s="255"/>
      <c r="E2022" s="255"/>
      <c r="F2022" s="254"/>
      <c r="G2022" s="254"/>
      <c r="H2022" s="254"/>
      <c r="I2022" s="228"/>
      <c r="J2022" s="228"/>
      <c r="K2022" s="228"/>
      <c r="L2022"/>
      <c r="M2022"/>
    </row>
    <row r="2023" spans="1:13" s="125" customFormat="1" x14ac:dyDescent="0.25">
      <c r="A2023" s="251"/>
      <c r="B2023" s="255"/>
      <c r="C2023" s="255"/>
      <c r="D2023" s="255"/>
      <c r="E2023" s="255"/>
      <c r="F2023" s="254"/>
      <c r="G2023" s="254"/>
      <c r="H2023" s="254"/>
      <c r="I2023" s="228"/>
      <c r="J2023" s="228"/>
      <c r="K2023" s="228"/>
      <c r="L2023"/>
      <c r="M2023"/>
    </row>
    <row r="2024" spans="1:13" s="125" customFormat="1" x14ac:dyDescent="0.25">
      <c r="A2024" s="251"/>
      <c r="B2024" s="255"/>
      <c r="C2024" s="255"/>
      <c r="D2024" s="255"/>
      <c r="E2024" s="255"/>
      <c r="F2024" s="254"/>
      <c r="G2024" s="254"/>
      <c r="H2024" s="254"/>
      <c r="I2024" s="228"/>
      <c r="J2024" s="228"/>
      <c r="K2024" s="228"/>
      <c r="L2024"/>
      <c r="M2024"/>
    </row>
    <row r="2025" spans="1:13" s="125" customFormat="1" x14ac:dyDescent="0.25">
      <c r="A2025" s="251"/>
      <c r="B2025" s="255"/>
      <c r="C2025" s="255"/>
      <c r="D2025" s="255"/>
      <c r="E2025" s="255"/>
      <c r="F2025" s="254"/>
      <c r="G2025" s="254"/>
      <c r="H2025" s="254"/>
      <c r="I2025" s="228"/>
      <c r="J2025" s="228"/>
      <c r="K2025" s="228"/>
      <c r="L2025"/>
      <c r="M2025"/>
    </row>
    <row r="2026" spans="1:13" s="125" customFormat="1" x14ac:dyDescent="0.25">
      <c r="A2026" s="251"/>
      <c r="B2026" s="255"/>
      <c r="C2026" s="255"/>
      <c r="D2026" s="255"/>
      <c r="E2026" s="255"/>
      <c r="F2026" s="254"/>
      <c r="G2026" s="254"/>
      <c r="H2026" s="254"/>
      <c r="I2026" s="228"/>
      <c r="J2026" s="228"/>
      <c r="K2026" s="228"/>
      <c r="L2026"/>
      <c r="M2026"/>
    </row>
    <row r="2027" spans="1:13" s="125" customFormat="1" x14ac:dyDescent="0.25">
      <c r="A2027" s="251"/>
      <c r="B2027" s="255"/>
      <c r="C2027" s="255"/>
      <c r="D2027" s="255"/>
      <c r="E2027" s="255"/>
      <c r="F2027" s="254"/>
      <c r="G2027" s="254"/>
      <c r="H2027" s="254"/>
      <c r="I2027" s="228"/>
      <c r="J2027" s="228"/>
      <c r="K2027" s="228"/>
      <c r="L2027"/>
      <c r="M2027"/>
    </row>
    <row r="2028" spans="1:13" s="125" customFormat="1" x14ac:dyDescent="0.25">
      <c r="A2028" s="251"/>
      <c r="B2028" s="255"/>
      <c r="C2028" s="255"/>
      <c r="D2028" s="255"/>
      <c r="E2028" s="255"/>
      <c r="F2028" s="254"/>
      <c r="G2028" s="254"/>
      <c r="H2028" s="254"/>
      <c r="I2028" s="228"/>
      <c r="J2028" s="228"/>
      <c r="K2028" s="228"/>
      <c r="L2028"/>
      <c r="M2028"/>
    </row>
    <row r="2029" spans="1:13" s="125" customFormat="1" x14ac:dyDescent="0.25">
      <c r="A2029" s="251"/>
      <c r="B2029" s="255"/>
      <c r="C2029" s="255"/>
      <c r="D2029" s="255"/>
      <c r="E2029" s="255"/>
      <c r="F2029" s="254"/>
      <c r="G2029" s="254"/>
      <c r="H2029" s="254"/>
      <c r="I2029" s="228"/>
      <c r="J2029" s="228"/>
      <c r="K2029" s="228"/>
      <c r="L2029"/>
      <c r="M2029"/>
    </row>
    <row r="2030" spans="1:13" s="125" customFormat="1" x14ac:dyDescent="0.25">
      <c r="A2030" s="251"/>
      <c r="B2030" s="255"/>
      <c r="C2030" s="255"/>
      <c r="D2030" s="255"/>
      <c r="E2030" s="255"/>
      <c r="F2030" s="254"/>
      <c r="G2030" s="254"/>
      <c r="H2030" s="254"/>
      <c r="I2030" s="228"/>
      <c r="J2030" s="228"/>
      <c r="K2030" s="228"/>
      <c r="L2030"/>
      <c r="M2030"/>
    </row>
    <row r="2031" spans="1:13" s="125" customFormat="1" x14ac:dyDescent="0.25">
      <c r="A2031" s="251"/>
      <c r="B2031" s="255"/>
      <c r="C2031" s="255"/>
      <c r="D2031" s="255"/>
      <c r="E2031" s="255"/>
      <c r="F2031" s="254"/>
      <c r="G2031" s="254"/>
      <c r="H2031" s="254"/>
      <c r="I2031" s="228"/>
      <c r="J2031" s="228"/>
      <c r="K2031" s="228"/>
      <c r="L2031"/>
      <c r="M2031"/>
    </row>
    <row r="2032" spans="1:13" s="125" customFormat="1" x14ac:dyDescent="0.25">
      <c r="A2032" s="251"/>
      <c r="B2032" s="255"/>
      <c r="C2032" s="255"/>
      <c r="D2032" s="255"/>
      <c r="E2032" s="255"/>
      <c r="F2032" s="254"/>
      <c r="G2032" s="254"/>
      <c r="H2032" s="254"/>
      <c r="I2032" s="228"/>
      <c r="J2032" s="228"/>
      <c r="K2032" s="228"/>
      <c r="L2032"/>
      <c r="M2032"/>
    </row>
    <row r="2033" spans="1:13" s="125" customFormat="1" x14ac:dyDescent="0.25">
      <c r="A2033" s="251"/>
      <c r="B2033" s="255"/>
      <c r="C2033" s="255"/>
      <c r="D2033" s="255"/>
      <c r="E2033" s="255"/>
      <c r="F2033" s="254"/>
      <c r="G2033" s="254"/>
      <c r="H2033" s="254"/>
      <c r="I2033" s="228"/>
      <c r="J2033" s="228"/>
      <c r="K2033" s="228"/>
      <c r="L2033"/>
      <c r="M2033"/>
    </row>
    <row r="2034" spans="1:13" s="125" customFormat="1" x14ac:dyDescent="0.25">
      <c r="A2034" s="251"/>
      <c r="B2034" s="255"/>
      <c r="C2034" s="255"/>
      <c r="D2034" s="255"/>
      <c r="E2034" s="255"/>
      <c r="F2034" s="254"/>
      <c r="G2034" s="254"/>
      <c r="H2034" s="254"/>
      <c r="I2034" s="228"/>
      <c r="J2034" s="228"/>
      <c r="K2034" s="228"/>
      <c r="L2034"/>
      <c r="M2034"/>
    </row>
    <row r="2035" spans="1:13" s="125" customFormat="1" x14ac:dyDescent="0.25">
      <c r="A2035" s="251"/>
      <c r="B2035" s="255"/>
      <c r="C2035" s="255"/>
      <c r="D2035" s="255"/>
      <c r="E2035" s="255"/>
      <c r="F2035" s="254"/>
      <c r="G2035" s="254"/>
      <c r="H2035" s="254"/>
      <c r="I2035" s="228"/>
      <c r="J2035" s="228"/>
      <c r="K2035" s="228"/>
      <c r="L2035"/>
      <c r="M2035"/>
    </row>
    <row r="2036" spans="1:13" s="125" customFormat="1" x14ac:dyDescent="0.25">
      <c r="A2036" s="251"/>
      <c r="B2036" s="255"/>
      <c r="C2036" s="255"/>
      <c r="D2036" s="255"/>
      <c r="E2036" s="255"/>
      <c r="F2036" s="254"/>
      <c r="G2036" s="254"/>
      <c r="H2036" s="254"/>
      <c r="I2036" s="228"/>
      <c r="J2036" s="228"/>
      <c r="K2036" s="228"/>
      <c r="L2036"/>
      <c r="M2036"/>
    </row>
    <row r="2037" spans="1:13" s="125" customFormat="1" x14ac:dyDescent="0.25">
      <c r="A2037" s="251"/>
      <c r="B2037" s="255"/>
      <c r="C2037" s="255"/>
      <c r="D2037" s="255"/>
      <c r="E2037" s="255"/>
      <c r="F2037" s="254"/>
      <c r="G2037" s="254"/>
      <c r="H2037" s="254"/>
      <c r="I2037" s="228"/>
      <c r="J2037" s="228"/>
      <c r="K2037" s="228"/>
      <c r="L2037"/>
      <c r="M2037"/>
    </row>
    <row r="2038" spans="1:13" s="125" customFormat="1" x14ac:dyDescent="0.25">
      <c r="A2038" s="251"/>
      <c r="B2038" s="255"/>
      <c r="C2038" s="255"/>
      <c r="D2038" s="255"/>
      <c r="E2038" s="255"/>
      <c r="F2038" s="254"/>
      <c r="G2038" s="254"/>
      <c r="H2038" s="254"/>
      <c r="I2038" s="228"/>
      <c r="J2038" s="228"/>
      <c r="K2038" s="228"/>
      <c r="L2038"/>
      <c r="M2038"/>
    </row>
    <row r="2039" spans="1:13" s="125" customFormat="1" x14ac:dyDescent="0.25">
      <c r="A2039" s="251"/>
      <c r="B2039" s="255"/>
      <c r="C2039" s="255"/>
      <c r="D2039" s="255"/>
      <c r="E2039" s="255"/>
      <c r="F2039" s="254"/>
      <c r="G2039" s="254"/>
      <c r="H2039" s="254"/>
      <c r="I2039" s="228"/>
      <c r="J2039" s="228"/>
      <c r="K2039" s="228"/>
      <c r="L2039"/>
      <c r="M2039"/>
    </row>
    <row r="2040" spans="1:13" s="125" customFormat="1" x14ac:dyDescent="0.25">
      <c r="A2040" s="251"/>
      <c r="B2040" s="255"/>
      <c r="C2040" s="255"/>
      <c r="D2040" s="255"/>
      <c r="E2040" s="255"/>
      <c r="F2040" s="254"/>
      <c r="G2040" s="254"/>
      <c r="H2040" s="254"/>
      <c r="I2040" s="228"/>
      <c r="J2040" s="228"/>
      <c r="K2040" s="228"/>
      <c r="L2040"/>
      <c r="M2040"/>
    </row>
    <row r="2041" spans="1:13" s="125" customFormat="1" x14ac:dyDescent="0.25">
      <c r="A2041" s="251"/>
      <c r="B2041" s="255"/>
      <c r="C2041" s="255"/>
      <c r="D2041" s="255"/>
      <c r="E2041" s="255"/>
      <c r="F2041" s="254"/>
      <c r="G2041" s="254"/>
      <c r="H2041" s="254"/>
      <c r="I2041" s="228"/>
      <c r="J2041" s="228"/>
      <c r="K2041" s="228"/>
      <c r="L2041"/>
      <c r="M2041"/>
    </row>
    <row r="2042" spans="1:13" s="125" customFormat="1" x14ac:dyDescent="0.25">
      <c r="A2042" s="251"/>
      <c r="B2042" s="255"/>
      <c r="C2042" s="255"/>
      <c r="D2042" s="255"/>
      <c r="E2042" s="255"/>
      <c r="F2042" s="254"/>
      <c r="G2042" s="254"/>
      <c r="H2042" s="254"/>
      <c r="I2042" s="228"/>
      <c r="J2042" s="228"/>
      <c r="K2042" s="228"/>
      <c r="L2042"/>
      <c r="M2042"/>
    </row>
    <row r="2043" spans="1:13" s="125" customFormat="1" x14ac:dyDescent="0.25">
      <c r="A2043" s="251"/>
      <c r="B2043" s="255"/>
      <c r="C2043" s="255"/>
      <c r="D2043" s="255"/>
      <c r="E2043" s="255"/>
      <c r="F2043" s="254"/>
      <c r="G2043" s="254"/>
      <c r="H2043" s="254"/>
      <c r="I2043" s="228"/>
      <c r="J2043" s="228"/>
      <c r="K2043" s="228"/>
      <c r="L2043"/>
      <c r="M2043"/>
    </row>
    <row r="2044" spans="1:13" s="125" customFormat="1" x14ac:dyDescent="0.25">
      <c r="A2044" s="251"/>
      <c r="B2044" s="255"/>
      <c r="C2044" s="255"/>
      <c r="D2044" s="255"/>
      <c r="E2044" s="255"/>
      <c r="F2044" s="254"/>
      <c r="G2044" s="254"/>
      <c r="H2044" s="254"/>
      <c r="I2044" s="228"/>
      <c r="J2044" s="228"/>
      <c r="K2044" s="228"/>
      <c r="L2044"/>
      <c r="M2044"/>
    </row>
    <row r="2045" spans="1:13" s="125" customFormat="1" x14ac:dyDescent="0.25">
      <c r="A2045" s="251"/>
      <c r="B2045" s="255"/>
      <c r="C2045" s="255"/>
      <c r="D2045" s="255"/>
      <c r="E2045" s="255"/>
      <c r="F2045" s="254"/>
      <c r="G2045" s="254"/>
      <c r="H2045" s="254"/>
      <c r="I2045" s="228"/>
      <c r="J2045" s="228"/>
      <c r="K2045" s="228"/>
      <c r="L2045"/>
      <c r="M2045"/>
    </row>
    <row r="2046" spans="1:13" s="125" customFormat="1" x14ac:dyDescent="0.25">
      <c r="A2046" s="251"/>
      <c r="B2046" s="255"/>
      <c r="C2046" s="255"/>
      <c r="D2046" s="255"/>
      <c r="E2046" s="255"/>
      <c r="F2046" s="254"/>
      <c r="G2046" s="254"/>
      <c r="H2046" s="254"/>
      <c r="I2046" s="228"/>
      <c r="J2046" s="228"/>
      <c r="K2046" s="228"/>
      <c r="L2046"/>
      <c r="M2046"/>
    </row>
    <row r="2047" spans="1:13" s="125" customFormat="1" x14ac:dyDescent="0.25">
      <c r="A2047" s="251"/>
      <c r="B2047" s="255"/>
      <c r="C2047" s="255"/>
      <c r="D2047" s="255"/>
      <c r="E2047" s="255"/>
      <c r="F2047" s="254"/>
      <c r="G2047" s="254"/>
      <c r="H2047" s="254"/>
      <c r="I2047" s="228"/>
      <c r="J2047" s="228"/>
      <c r="K2047" s="228"/>
      <c r="L2047"/>
      <c r="M2047"/>
    </row>
    <row r="2048" spans="1:13" s="125" customFormat="1" x14ac:dyDescent="0.25">
      <c r="A2048" s="251"/>
      <c r="B2048" s="255"/>
      <c r="C2048" s="255"/>
      <c r="D2048" s="255"/>
      <c r="E2048" s="255"/>
      <c r="F2048" s="254"/>
      <c r="G2048" s="254"/>
      <c r="H2048" s="254"/>
      <c r="I2048" s="228"/>
      <c r="J2048" s="228"/>
      <c r="K2048" s="228"/>
      <c r="L2048"/>
      <c r="M2048"/>
    </row>
    <row r="2049" spans="1:13" s="125" customFormat="1" x14ac:dyDescent="0.25">
      <c r="A2049" s="251"/>
      <c r="B2049" s="255"/>
      <c r="C2049" s="255"/>
      <c r="D2049" s="255"/>
      <c r="E2049" s="255"/>
      <c r="F2049" s="254"/>
      <c r="G2049" s="254"/>
      <c r="H2049" s="254"/>
      <c r="I2049" s="228"/>
      <c r="J2049" s="228"/>
      <c r="K2049" s="228"/>
      <c r="L2049"/>
      <c r="M2049"/>
    </row>
    <row r="2050" spans="1:13" s="125" customFormat="1" x14ac:dyDescent="0.25">
      <c r="A2050" s="251"/>
      <c r="B2050" s="255"/>
      <c r="C2050" s="255"/>
      <c r="D2050" s="255"/>
      <c r="E2050" s="255"/>
      <c r="F2050" s="254"/>
      <c r="G2050" s="254"/>
      <c r="H2050" s="254"/>
      <c r="I2050" s="228"/>
      <c r="J2050" s="228"/>
      <c r="K2050" s="228"/>
      <c r="L2050"/>
      <c r="M2050"/>
    </row>
    <row r="2051" spans="1:13" s="125" customFormat="1" x14ac:dyDescent="0.25">
      <c r="A2051" s="251"/>
      <c r="B2051" s="255"/>
      <c r="C2051" s="255"/>
      <c r="D2051" s="255"/>
      <c r="E2051" s="255"/>
      <c r="F2051" s="254"/>
      <c r="G2051" s="254"/>
      <c r="H2051" s="254"/>
      <c r="I2051" s="228"/>
      <c r="J2051" s="228"/>
      <c r="K2051" s="228"/>
      <c r="L2051"/>
      <c r="M2051"/>
    </row>
    <row r="2052" spans="1:13" s="125" customFormat="1" x14ac:dyDescent="0.25">
      <c r="A2052" s="251"/>
      <c r="B2052" s="255"/>
      <c r="C2052" s="255"/>
      <c r="D2052" s="255"/>
      <c r="E2052" s="255"/>
      <c r="F2052" s="254"/>
      <c r="G2052" s="254"/>
      <c r="H2052" s="254"/>
      <c r="I2052" s="228"/>
      <c r="J2052" s="228"/>
      <c r="K2052" s="228"/>
      <c r="L2052"/>
      <c r="M2052"/>
    </row>
    <row r="2053" spans="1:13" s="125" customFormat="1" x14ac:dyDescent="0.25">
      <c r="A2053" s="251"/>
      <c r="B2053" s="255"/>
      <c r="C2053" s="255"/>
      <c r="D2053" s="255"/>
      <c r="E2053" s="255"/>
      <c r="F2053" s="254"/>
      <c r="G2053" s="254"/>
      <c r="H2053" s="254"/>
      <c r="I2053" s="228"/>
      <c r="J2053" s="228"/>
      <c r="K2053" s="228"/>
      <c r="L2053"/>
      <c r="M2053"/>
    </row>
    <row r="2054" spans="1:13" s="125" customFormat="1" x14ac:dyDescent="0.25">
      <c r="A2054" s="251"/>
      <c r="B2054" s="255"/>
      <c r="C2054" s="255"/>
      <c r="D2054" s="255"/>
      <c r="E2054" s="255"/>
      <c r="F2054" s="254"/>
      <c r="G2054" s="254"/>
      <c r="H2054" s="254"/>
      <c r="I2054" s="228"/>
      <c r="J2054" s="228"/>
      <c r="K2054" s="228"/>
      <c r="L2054"/>
      <c r="M2054"/>
    </row>
    <row r="2055" spans="1:13" s="125" customFormat="1" x14ac:dyDescent="0.25">
      <c r="A2055" s="251"/>
      <c r="B2055" s="255"/>
      <c r="C2055" s="255"/>
      <c r="D2055" s="255"/>
      <c r="E2055" s="255"/>
      <c r="F2055" s="254"/>
      <c r="G2055" s="254"/>
      <c r="H2055" s="254"/>
      <c r="I2055" s="228"/>
      <c r="J2055" s="228"/>
      <c r="K2055" s="228"/>
      <c r="L2055"/>
      <c r="M2055"/>
    </row>
    <row r="2056" spans="1:13" s="125" customFormat="1" x14ac:dyDescent="0.25">
      <c r="A2056" s="251"/>
      <c r="B2056" s="255"/>
      <c r="C2056" s="255"/>
      <c r="D2056" s="255"/>
      <c r="E2056" s="255"/>
      <c r="F2056" s="254"/>
      <c r="G2056" s="254"/>
      <c r="H2056" s="254"/>
      <c r="I2056" s="228"/>
      <c r="J2056" s="228"/>
      <c r="K2056" s="228"/>
      <c r="L2056"/>
      <c r="M2056"/>
    </row>
    <row r="2057" spans="1:13" s="125" customFormat="1" x14ac:dyDescent="0.25">
      <c r="A2057" s="251"/>
      <c r="B2057" s="255"/>
      <c r="C2057" s="255"/>
      <c r="D2057" s="255"/>
      <c r="E2057" s="255"/>
      <c r="F2057" s="254"/>
      <c r="G2057" s="254"/>
      <c r="H2057" s="254"/>
      <c r="I2057" s="228"/>
      <c r="J2057" s="228"/>
      <c r="K2057" s="228"/>
      <c r="L2057"/>
      <c r="M2057"/>
    </row>
    <row r="2058" spans="1:13" s="125" customFormat="1" x14ac:dyDescent="0.25">
      <c r="A2058" s="251"/>
      <c r="B2058" s="255"/>
      <c r="C2058" s="255"/>
      <c r="D2058" s="255"/>
      <c r="E2058" s="255"/>
      <c r="F2058" s="254"/>
      <c r="G2058" s="254"/>
      <c r="H2058" s="254"/>
      <c r="I2058" s="228"/>
      <c r="J2058" s="228"/>
      <c r="K2058" s="228"/>
      <c r="L2058"/>
      <c r="M2058"/>
    </row>
    <row r="2059" spans="1:13" s="125" customFormat="1" x14ac:dyDescent="0.25">
      <c r="A2059" s="251"/>
      <c r="B2059" s="255"/>
      <c r="C2059" s="255"/>
      <c r="D2059" s="255"/>
      <c r="E2059" s="255"/>
      <c r="F2059" s="254"/>
      <c r="G2059" s="254"/>
      <c r="H2059" s="254"/>
      <c r="I2059" s="228"/>
      <c r="J2059" s="228"/>
      <c r="K2059" s="228"/>
      <c r="L2059"/>
      <c r="M2059"/>
    </row>
    <row r="2060" spans="1:13" s="125" customFormat="1" x14ac:dyDescent="0.25">
      <c r="A2060" s="251"/>
      <c r="B2060" s="255"/>
      <c r="C2060" s="255"/>
      <c r="D2060" s="255"/>
      <c r="E2060" s="255"/>
      <c r="F2060" s="254"/>
      <c r="G2060" s="254"/>
      <c r="H2060" s="254"/>
      <c r="I2060" s="228"/>
      <c r="J2060" s="228"/>
      <c r="K2060" s="228"/>
      <c r="L2060"/>
      <c r="M2060"/>
    </row>
    <row r="2061" spans="1:13" s="125" customFormat="1" x14ac:dyDescent="0.25">
      <c r="A2061" s="251"/>
      <c r="B2061" s="255"/>
      <c r="C2061" s="255"/>
      <c r="D2061" s="255"/>
      <c r="E2061" s="255"/>
      <c r="F2061" s="254"/>
      <c r="G2061" s="254"/>
      <c r="H2061" s="254"/>
      <c r="I2061" s="228"/>
      <c r="J2061" s="228"/>
      <c r="K2061" s="228"/>
      <c r="L2061"/>
      <c r="M2061"/>
    </row>
    <row r="2062" spans="1:13" s="125" customFormat="1" x14ac:dyDescent="0.25">
      <c r="A2062" s="251"/>
      <c r="B2062" s="255"/>
      <c r="C2062" s="255"/>
      <c r="D2062" s="255"/>
      <c r="E2062" s="255"/>
      <c r="F2062" s="254"/>
      <c r="G2062" s="254"/>
      <c r="H2062" s="254"/>
      <c r="I2062" s="228"/>
      <c r="J2062" s="228"/>
      <c r="K2062" s="228"/>
      <c r="L2062"/>
      <c r="M2062"/>
    </row>
    <row r="2063" spans="1:13" s="125" customFormat="1" x14ac:dyDescent="0.25">
      <c r="A2063" s="251"/>
      <c r="B2063" s="255"/>
      <c r="C2063" s="255"/>
      <c r="D2063" s="255"/>
      <c r="E2063" s="255"/>
      <c r="F2063" s="254"/>
      <c r="G2063" s="254"/>
      <c r="H2063" s="254"/>
      <c r="I2063" s="228"/>
      <c r="J2063" s="228"/>
      <c r="K2063" s="228"/>
      <c r="L2063"/>
      <c r="M2063"/>
    </row>
    <row r="2064" spans="1:13" s="125" customFormat="1" x14ac:dyDescent="0.25">
      <c r="A2064" s="251"/>
      <c r="B2064" s="255"/>
      <c r="C2064" s="255"/>
      <c r="D2064" s="255"/>
      <c r="E2064" s="255"/>
      <c r="F2064" s="254"/>
      <c r="G2064" s="254"/>
      <c r="H2064" s="254"/>
      <c r="I2064" s="228"/>
      <c r="J2064" s="228"/>
      <c r="K2064" s="228"/>
      <c r="L2064"/>
      <c r="M2064"/>
    </row>
    <row r="2065" spans="1:13" s="125" customFormat="1" x14ac:dyDescent="0.25">
      <c r="A2065" s="251"/>
      <c r="B2065" s="255"/>
      <c r="C2065" s="255"/>
      <c r="D2065" s="255"/>
      <c r="E2065" s="255"/>
      <c r="F2065" s="254"/>
      <c r="G2065" s="254"/>
      <c r="H2065" s="254"/>
      <c r="I2065" s="228"/>
      <c r="J2065" s="228"/>
      <c r="K2065" s="228"/>
      <c r="L2065"/>
      <c r="M2065"/>
    </row>
    <row r="2066" spans="1:13" s="125" customFormat="1" x14ac:dyDescent="0.25">
      <c r="A2066" s="251"/>
      <c r="B2066" s="255"/>
      <c r="C2066" s="255"/>
      <c r="D2066" s="255"/>
      <c r="E2066" s="255"/>
      <c r="F2066" s="254"/>
      <c r="G2066" s="254"/>
      <c r="H2066" s="254"/>
      <c r="I2066" s="228"/>
      <c r="J2066" s="228"/>
      <c r="K2066" s="228"/>
      <c r="L2066"/>
      <c r="M2066"/>
    </row>
    <row r="2067" spans="1:13" s="125" customFormat="1" x14ac:dyDescent="0.25">
      <c r="A2067" s="251"/>
      <c r="B2067" s="255"/>
      <c r="C2067" s="255"/>
      <c r="D2067" s="255"/>
      <c r="E2067" s="255"/>
      <c r="F2067" s="254"/>
      <c r="G2067" s="254"/>
      <c r="H2067" s="254"/>
      <c r="I2067" s="228"/>
      <c r="J2067" s="228"/>
      <c r="K2067" s="228"/>
      <c r="L2067"/>
      <c r="M2067"/>
    </row>
    <row r="2068" spans="1:13" s="125" customFormat="1" x14ac:dyDescent="0.25">
      <c r="A2068" s="251"/>
      <c r="B2068" s="255"/>
      <c r="C2068" s="255"/>
      <c r="D2068" s="255"/>
      <c r="E2068" s="255"/>
      <c r="F2068" s="254"/>
      <c r="G2068" s="254"/>
      <c r="H2068" s="254"/>
      <c r="I2068" s="228"/>
      <c r="J2068" s="228"/>
      <c r="K2068" s="228"/>
      <c r="L2068"/>
      <c r="M2068"/>
    </row>
    <row r="2069" spans="1:13" s="125" customFormat="1" x14ac:dyDescent="0.25">
      <c r="A2069" s="251"/>
      <c r="B2069" s="255"/>
      <c r="C2069" s="255"/>
      <c r="D2069" s="255"/>
      <c r="E2069" s="255"/>
      <c r="F2069" s="254"/>
      <c r="G2069" s="254"/>
      <c r="H2069" s="254"/>
      <c r="I2069" s="228"/>
      <c r="J2069" s="228"/>
      <c r="K2069" s="228"/>
      <c r="L2069"/>
      <c r="M2069"/>
    </row>
    <row r="2070" spans="1:13" s="125" customFormat="1" x14ac:dyDescent="0.25">
      <c r="A2070" s="251"/>
      <c r="B2070" s="255"/>
      <c r="C2070" s="255"/>
      <c r="D2070" s="255"/>
      <c r="E2070" s="255"/>
      <c r="F2070" s="254"/>
      <c r="G2070" s="254"/>
      <c r="H2070" s="254"/>
      <c r="I2070" s="228"/>
      <c r="J2070" s="228"/>
      <c r="K2070" s="228"/>
      <c r="L2070"/>
      <c r="M2070"/>
    </row>
    <row r="2071" spans="1:13" s="125" customFormat="1" x14ac:dyDescent="0.25">
      <c r="A2071" s="251"/>
      <c r="B2071" s="255"/>
      <c r="C2071" s="255"/>
      <c r="D2071" s="255"/>
      <c r="E2071" s="255"/>
      <c r="F2071" s="254"/>
      <c r="G2071" s="254"/>
      <c r="H2071" s="254"/>
      <c r="I2071" s="228"/>
      <c r="J2071" s="228"/>
      <c r="K2071" s="228"/>
      <c r="L2071"/>
      <c r="M2071"/>
    </row>
    <row r="2072" spans="1:13" s="125" customFormat="1" x14ac:dyDescent="0.25">
      <c r="A2072" s="251"/>
      <c r="B2072" s="255"/>
      <c r="C2072" s="255"/>
      <c r="D2072" s="255"/>
      <c r="E2072" s="255"/>
      <c r="F2072" s="254"/>
      <c r="G2072" s="254"/>
      <c r="H2072" s="254"/>
      <c r="I2072" s="228"/>
      <c r="J2072" s="228"/>
      <c r="K2072" s="228"/>
      <c r="L2072"/>
      <c r="M2072"/>
    </row>
    <row r="2073" spans="1:13" s="125" customFormat="1" x14ac:dyDescent="0.25">
      <c r="A2073" s="251"/>
      <c r="B2073" s="255"/>
      <c r="C2073" s="255"/>
      <c r="D2073" s="255"/>
      <c r="E2073" s="255"/>
      <c r="F2073" s="254"/>
      <c r="G2073" s="254"/>
      <c r="H2073" s="254"/>
      <c r="I2073" s="228"/>
      <c r="J2073" s="228"/>
      <c r="K2073" s="228"/>
      <c r="L2073"/>
      <c r="M2073"/>
    </row>
    <row r="2074" spans="1:13" s="125" customFormat="1" x14ac:dyDescent="0.25">
      <c r="A2074" s="251"/>
      <c r="B2074" s="255"/>
      <c r="C2074" s="255"/>
      <c r="D2074" s="255"/>
      <c r="E2074" s="255"/>
      <c r="F2074" s="254"/>
      <c r="G2074" s="254"/>
      <c r="H2074" s="254"/>
      <c r="I2074" s="228"/>
      <c r="J2074" s="228"/>
      <c r="K2074" s="228"/>
      <c r="L2074"/>
      <c r="M2074"/>
    </row>
    <row r="2075" spans="1:13" s="125" customFormat="1" x14ac:dyDescent="0.25">
      <c r="A2075" s="251"/>
      <c r="B2075" s="255"/>
      <c r="C2075" s="255"/>
      <c r="D2075" s="255"/>
      <c r="E2075" s="255"/>
      <c r="F2075" s="254"/>
      <c r="G2075" s="254"/>
      <c r="H2075" s="254"/>
      <c r="I2075" s="228"/>
      <c r="J2075" s="228"/>
      <c r="K2075" s="228"/>
      <c r="L2075"/>
      <c r="M2075"/>
    </row>
    <row r="2076" spans="1:13" s="125" customFormat="1" x14ac:dyDescent="0.25">
      <c r="A2076" s="251"/>
      <c r="B2076" s="255"/>
      <c r="C2076" s="255"/>
      <c r="D2076" s="255"/>
      <c r="E2076" s="255"/>
      <c r="F2076" s="254"/>
      <c r="G2076" s="254"/>
      <c r="H2076" s="254"/>
      <c r="I2076" s="228"/>
      <c r="J2076" s="228"/>
      <c r="K2076" s="228"/>
      <c r="L2076"/>
      <c r="M2076"/>
    </row>
    <row r="2077" spans="1:13" s="125" customFormat="1" x14ac:dyDescent="0.25">
      <c r="A2077" s="251"/>
      <c r="B2077" s="255"/>
      <c r="C2077" s="255"/>
      <c r="D2077" s="255"/>
      <c r="E2077" s="255"/>
      <c r="F2077" s="254"/>
      <c r="G2077" s="254"/>
      <c r="H2077" s="254"/>
      <c r="I2077" s="228"/>
      <c r="J2077" s="228"/>
      <c r="K2077" s="228"/>
      <c r="L2077"/>
      <c r="M2077"/>
    </row>
    <row r="2078" spans="1:13" s="125" customFormat="1" x14ac:dyDescent="0.25">
      <c r="A2078" s="251"/>
      <c r="B2078" s="255"/>
      <c r="C2078" s="255"/>
      <c r="D2078" s="255"/>
      <c r="E2078" s="255"/>
      <c r="F2078" s="254"/>
      <c r="G2078" s="254"/>
      <c r="H2078" s="254"/>
      <c r="I2078" s="228"/>
      <c r="J2078" s="228"/>
      <c r="K2078" s="228"/>
      <c r="L2078"/>
      <c r="M2078"/>
    </row>
    <row r="2079" spans="1:13" s="125" customFormat="1" x14ac:dyDescent="0.25">
      <c r="A2079" s="251"/>
      <c r="B2079" s="255"/>
      <c r="C2079" s="255"/>
      <c r="D2079" s="255"/>
      <c r="E2079" s="255"/>
      <c r="F2079" s="254"/>
      <c r="G2079" s="254"/>
      <c r="H2079" s="254"/>
      <c r="I2079" s="228"/>
      <c r="J2079" s="228"/>
      <c r="K2079" s="228"/>
      <c r="L2079"/>
      <c r="M2079"/>
    </row>
    <row r="2080" spans="1:13" s="125" customFormat="1" x14ac:dyDescent="0.25">
      <c r="A2080" s="251"/>
      <c r="B2080" s="255"/>
      <c r="C2080" s="255"/>
      <c r="D2080" s="255"/>
      <c r="E2080" s="255"/>
      <c r="F2080" s="254"/>
      <c r="G2080" s="254"/>
      <c r="H2080" s="254"/>
      <c r="I2080" s="228"/>
      <c r="J2080" s="228"/>
      <c r="K2080" s="228"/>
      <c r="L2080"/>
      <c r="M2080"/>
    </row>
    <row r="2081" spans="1:13" s="125" customFormat="1" x14ac:dyDescent="0.25">
      <c r="A2081" s="251"/>
      <c r="B2081" s="255"/>
      <c r="C2081" s="255"/>
      <c r="D2081" s="255"/>
      <c r="E2081" s="255"/>
      <c r="F2081" s="254"/>
      <c r="G2081" s="254"/>
      <c r="H2081" s="254"/>
      <c r="I2081" s="228"/>
      <c r="J2081" s="228"/>
      <c r="K2081" s="228"/>
      <c r="L2081"/>
      <c r="M2081"/>
    </row>
    <row r="2082" spans="1:13" s="125" customFormat="1" x14ac:dyDescent="0.25">
      <c r="A2082" s="251"/>
      <c r="B2082" s="255"/>
      <c r="C2082" s="255"/>
      <c r="D2082" s="255"/>
      <c r="E2082" s="255"/>
      <c r="F2082" s="254"/>
      <c r="G2082" s="254"/>
      <c r="H2082" s="254"/>
      <c r="I2082" s="228"/>
      <c r="J2082" s="228"/>
      <c r="K2082" s="228"/>
      <c r="L2082"/>
      <c r="M2082"/>
    </row>
    <row r="2083" spans="1:13" s="125" customFormat="1" x14ac:dyDescent="0.25">
      <c r="A2083" s="251"/>
      <c r="B2083" s="255"/>
      <c r="C2083" s="255"/>
      <c r="D2083" s="255"/>
      <c r="E2083" s="255"/>
      <c r="F2083" s="254"/>
      <c r="G2083" s="254"/>
      <c r="H2083" s="254"/>
      <c r="I2083" s="228"/>
      <c r="J2083" s="228"/>
      <c r="K2083" s="228"/>
      <c r="L2083"/>
      <c r="M2083"/>
    </row>
    <row r="2084" spans="1:13" s="125" customFormat="1" x14ac:dyDescent="0.25">
      <c r="A2084" s="251"/>
      <c r="B2084" s="255"/>
      <c r="C2084" s="255"/>
      <c r="D2084" s="255"/>
      <c r="E2084" s="255"/>
      <c r="F2084" s="254"/>
      <c r="G2084" s="254"/>
      <c r="H2084" s="254"/>
      <c r="I2084" s="228"/>
      <c r="J2084" s="228"/>
      <c r="K2084" s="228"/>
      <c r="L2084"/>
      <c r="M2084"/>
    </row>
    <row r="2085" spans="1:13" s="125" customFormat="1" x14ac:dyDescent="0.25">
      <c r="A2085" s="251"/>
      <c r="B2085" s="255"/>
      <c r="C2085" s="255"/>
      <c r="D2085" s="255"/>
      <c r="E2085" s="255"/>
      <c r="F2085" s="254"/>
      <c r="G2085" s="254"/>
      <c r="H2085" s="254"/>
      <c r="I2085" s="228"/>
      <c r="J2085" s="228"/>
      <c r="K2085" s="228"/>
      <c r="L2085"/>
      <c r="M2085"/>
    </row>
    <row r="2086" spans="1:13" s="125" customFormat="1" x14ac:dyDescent="0.25">
      <c r="A2086" s="251"/>
      <c r="B2086" s="255"/>
      <c r="C2086" s="255"/>
      <c r="D2086" s="255"/>
      <c r="E2086" s="255"/>
      <c r="F2086" s="254"/>
      <c r="G2086" s="254"/>
      <c r="H2086" s="254"/>
      <c r="I2086" s="228"/>
      <c r="J2086" s="228"/>
      <c r="K2086" s="228"/>
      <c r="L2086"/>
      <c r="M2086"/>
    </row>
    <row r="2087" spans="1:13" s="125" customFormat="1" x14ac:dyDescent="0.25">
      <c r="A2087" s="251"/>
      <c r="B2087" s="255"/>
      <c r="C2087" s="255"/>
      <c r="D2087" s="255"/>
      <c r="E2087" s="255"/>
      <c r="F2087" s="254"/>
      <c r="G2087" s="254"/>
      <c r="H2087" s="254"/>
      <c r="I2087" s="228"/>
      <c r="J2087" s="228"/>
      <c r="K2087" s="228"/>
      <c r="L2087"/>
      <c r="M2087"/>
    </row>
    <row r="2088" spans="1:13" s="125" customFormat="1" x14ac:dyDescent="0.25">
      <c r="A2088" s="251"/>
      <c r="B2088" s="255"/>
      <c r="C2088" s="255"/>
      <c r="D2088" s="255"/>
      <c r="E2088" s="255"/>
      <c r="F2088" s="254"/>
      <c r="G2088" s="254"/>
      <c r="H2088" s="254"/>
      <c r="I2088" s="228"/>
      <c r="J2088" s="228"/>
      <c r="K2088" s="228"/>
      <c r="L2088"/>
      <c r="M2088"/>
    </row>
    <row r="2089" spans="1:13" s="125" customFormat="1" x14ac:dyDescent="0.25">
      <c r="A2089" s="251"/>
      <c r="B2089" s="255"/>
      <c r="C2089" s="255"/>
      <c r="D2089" s="255"/>
      <c r="E2089" s="255"/>
      <c r="F2089" s="254"/>
      <c r="G2089" s="254"/>
      <c r="H2089" s="254"/>
      <c r="I2089" s="228"/>
      <c r="J2089" s="228"/>
      <c r="K2089" s="228"/>
      <c r="L2089"/>
      <c r="M2089"/>
    </row>
    <row r="2090" spans="1:13" s="125" customFormat="1" x14ac:dyDescent="0.25">
      <c r="A2090" s="251"/>
      <c r="B2090" s="255"/>
      <c r="C2090" s="255"/>
      <c r="D2090" s="255"/>
      <c r="E2090" s="255"/>
      <c r="F2090" s="254"/>
      <c r="G2090" s="254"/>
      <c r="H2090" s="254"/>
      <c r="I2090" s="228"/>
      <c r="J2090" s="228"/>
      <c r="K2090" s="228"/>
      <c r="L2090"/>
      <c r="M2090"/>
    </row>
    <row r="2091" spans="1:13" s="125" customFormat="1" x14ac:dyDescent="0.25">
      <c r="A2091" s="251"/>
      <c r="B2091" s="255"/>
      <c r="C2091" s="255"/>
      <c r="D2091" s="255"/>
      <c r="E2091" s="255"/>
      <c r="F2091" s="254"/>
      <c r="G2091" s="254"/>
      <c r="H2091" s="254"/>
      <c r="I2091" s="228"/>
      <c r="J2091" s="228"/>
      <c r="K2091" s="228"/>
      <c r="L2091"/>
      <c r="M2091"/>
    </row>
    <row r="2092" spans="1:13" s="125" customFormat="1" x14ac:dyDescent="0.25">
      <c r="A2092" s="251"/>
      <c r="B2092" s="255"/>
      <c r="C2092" s="255"/>
      <c r="D2092" s="255"/>
      <c r="E2092" s="255"/>
      <c r="F2092" s="254"/>
      <c r="G2092" s="254"/>
      <c r="H2092" s="254"/>
      <c r="I2092" s="228"/>
      <c r="J2092" s="228"/>
      <c r="K2092" s="228"/>
      <c r="L2092"/>
      <c r="M2092"/>
    </row>
    <row r="2093" spans="1:13" s="125" customFormat="1" x14ac:dyDescent="0.25">
      <c r="A2093" s="251"/>
      <c r="B2093" s="255"/>
      <c r="C2093" s="255"/>
      <c r="D2093" s="255"/>
      <c r="E2093" s="255"/>
      <c r="F2093" s="254"/>
      <c r="G2093" s="254"/>
      <c r="H2093" s="254"/>
      <c r="I2093" s="228"/>
      <c r="J2093" s="228"/>
      <c r="K2093" s="228"/>
      <c r="L2093"/>
      <c r="M2093"/>
    </row>
    <row r="2094" spans="1:13" s="125" customFormat="1" x14ac:dyDescent="0.25">
      <c r="A2094" s="251"/>
      <c r="B2094" s="255"/>
      <c r="C2094" s="255"/>
      <c r="D2094" s="255"/>
      <c r="E2094" s="255"/>
      <c r="F2094" s="254"/>
      <c r="G2094" s="254"/>
      <c r="H2094" s="254"/>
      <c r="I2094" s="228"/>
      <c r="J2094" s="228"/>
      <c r="K2094" s="228"/>
      <c r="L2094"/>
      <c r="M2094"/>
    </row>
    <row r="2095" spans="1:13" s="125" customFormat="1" x14ac:dyDescent="0.25">
      <c r="A2095" s="251"/>
      <c r="B2095" s="255"/>
      <c r="C2095" s="255"/>
      <c r="D2095" s="255"/>
      <c r="E2095" s="255"/>
      <c r="F2095" s="254"/>
      <c r="G2095" s="254"/>
      <c r="H2095" s="254"/>
      <c r="I2095" s="228"/>
      <c r="J2095" s="228"/>
      <c r="K2095" s="228"/>
      <c r="L2095"/>
      <c r="M2095"/>
    </row>
    <row r="2096" spans="1:13" s="125" customFormat="1" x14ac:dyDescent="0.25">
      <c r="A2096" s="251"/>
      <c r="B2096" s="255"/>
      <c r="C2096" s="255"/>
      <c r="D2096" s="255"/>
      <c r="E2096" s="255"/>
      <c r="F2096" s="254"/>
      <c r="G2096" s="254"/>
      <c r="H2096" s="254"/>
      <c r="I2096" s="228"/>
      <c r="J2096" s="228"/>
      <c r="K2096" s="228"/>
      <c r="L2096"/>
      <c r="M2096"/>
    </row>
    <row r="2097" spans="1:13" s="125" customFormat="1" x14ac:dyDescent="0.25">
      <c r="A2097" s="251"/>
      <c r="B2097" s="255"/>
      <c r="C2097" s="255"/>
      <c r="D2097" s="255"/>
      <c r="E2097" s="255"/>
      <c r="F2097" s="254"/>
      <c r="G2097" s="254"/>
      <c r="H2097" s="254"/>
      <c r="I2097" s="228"/>
      <c r="J2097" s="228"/>
      <c r="K2097" s="228"/>
      <c r="L2097"/>
      <c r="M2097"/>
    </row>
    <row r="2098" spans="1:13" s="125" customFormat="1" x14ac:dyDescent="0.25">
      <c r="A2098" s="251"/>
      <c r="B2098" s="255"/>
      <c r="C2098" s="255"/>
      <c r="D2098" s="255"/>
      <c r="E2098" s="255"/>
      <c r="F2098" s="254"/>
      <c r="G2098" s="254"/>
      <c r="H2098" s="254"/>
      <c r="I2098" s="228"/>
      <c r="J2098" s="228"/>
      <c r="K2098" s="228"/>
      <c r="L2098"/>
      <c r="M2098"/>
    </row>
    <row r="2099" spans="1:13" s="125" customFormat="1" x14ac:dyDescent="0.25">
      <c r="A2099" s="251"/>
      <c r="B2099" s="255"/>
      <c r="C2099" s="255"/>
      <c r="D2099" s="255"/>
      <c r="E2099" s="255"/>
      <c r="F2099" s="254"/>
      <c r="G2099" s="254"/>
      <c r="H2099" s="254"/>
      <c r="I2099" s="228"/>
      <c r="J2099" s="228"/>
      <c r="K2099" s="228"/>
      <c r="L2099"/>
      <c r="M2099"/>
    </row>
    <row r="2100" spans="1:13" s="125" customFormat="1" x14ac:dyDescent="0.25">
      <c r="A2100" s="251"/>
      <c r="B2100" s="255"/>
      <c r="C2100" s="255"/>
      <c r="D2100" s="255"/>
      <c r="E2100" s="255"/>
      <c r="F2100" s="254"/>
      <c r="G2100" s="254"/>
      <c r="H2100" s="254"/>
      <c r="I2100" s="228"/>
      <c r="J2100" s="228"/>
      <c r="K2100" s="228"/>
      <c r="L2100"/>
      <c r="M2100"/>
    </row>
    <row r="2101" spans="1:13" s="125" customFormat="1" x14ac:dyDescent="0.25">
      <c r="A2101" s="251"/>
      <c r="B2101" s="255"/>
      <c r="C2101" s="255"/>
      <c r="D2101" s="255"/>
      <c r="E2101" s="255"/>
      <c r="F2101" s="254"/>
      <c r="G2101" s="254"/>
      <c r="H2101" s="254"/>
      <c r="I2101" s="228"/>
      <c r="J2101" s="228"/>
      <c r="K2101" s="228"/>
      <c r="L2101"/>
      <c r="M2101"/>
    </row>
    <row r="2102" spans="1:13" s="125" customFormat="1" x14ac:dyDescent="0.25">
      <c r="A2102" s="251"/>
      <c r="B2102" s="255"/>
      <c r="C2102" s="255"/>
      <c r="D2102" s="255"/>
      <c r="E2102" s="255"/>
      <c r="F2102" s="254"/>
      <c r="G2102" s="254"/>
      <c r="H2102" s="254"/>
      <c r="I2102" s="228"/>
      <c r="J2102" s="228"/>
      <c r="K2102" s="228"/>
      <c r="L2102"/>
      <c r="M2102"/>
    </row>
    <row r="2103" spans="1:13" s="125" customFormat="1" x14ac:dyDescent="0.25">
      <c r="A2103" s="251"/>
      <c r="B2103" s="255"/>
      <c r="C2103" s="255"/>
      <c r="D2103" s="255"/>
      <c r="E2103" s="255"/>
      <c r="F2103" s="254"/>
      <c r="G2103" s="254"/>
      <c r="H2103" s="254"/>
      <c r="I2103" s="228"/>
      <c r="J2103" s="228"/>
      <c r="K2103" s="228"/>
      <c r="L2103"/>
      <c r="M2103"/>
    </row>
    <row r="2104" spans="1:13" s="125" customFormat="1" x14ac:dyDescent="0.25">
      <c r="A2104" s="251"/>
      <c r="B2104" s="255"/>
      <c r="C2104" s="255"/>
      <c r="D2104" s="255"/>
      <c r="E2104" s="255"/>
      <c r="F2104" s="254"/>
      <c r="G2104" s="254"/>
      <c r="H2104" s="254"/>
      <c r="I2104" s="228"/>
      <c r="J2104" s="228"/>
      <c r="K2104" s="228"/>
      <c r="L2104"/>
      <c r="M2104"/>
    </row>
    <row r="2105" spans="1:13" s="125" customFormat="1" x14ac:dyDescent="0.25">
      <c r="A2105" s="251"/>
      <c r="B2105" s="255"/>
      <c r="C2105" s="255"/>
      <c r="D2105" s="255"/>
      <c r="E2105" s="255"/>
      <c r="F2105" s="254"/>
      <c r="G2105" s="254"/>
      <c r="H2105" s="254"/>
      <c r="I2105" s="228"/>
      <c r="J2105" s="228"/>
      <c r="K2105" s="228"/>
      <c r="L2105"/>
      <c r="M2105"/>
    </row>
    <row r="2106" spans="1:13" s="125" customFormat="1" x14ac:dyDescent="0.25">
      <c r="A2106" s="251"/>
      <c r="B2106" s="255"/>
      <c r="C2106" s="255"/>
      <c r="D2106" s="255"/>
      <c r="E2106" s="255"/>
      <c r="F2106" s="254"/>
      <c r="G2106" s="254"/>
      <c r="H2106" s="254"/>
      <c r="I2106" s="228"/>
      <c r="J2106" s="228"/>
      <c r="K2106" s="228"/>
      <c r="L2106"/>
      <c r="M2106"/>
    </row>
    <row r="2107" spans="1:13" s="125" customFormat="1" x14ac:dyDescent="0.25">
      <c r="A2107" s="251"/>
      <c r="B2107" s="255"/>
      <c r="C2107" s="255"/>
      <c r="D2107" s="255"/>
      <c r="E2107" s="255"/>
      <c r="F2107" s="254"/>
      <c r="G2107" s="254"/>
      <c r="H2107" s="254"/>
      <c r="I2107" s="228"/>
      <c r="J2107" s="228"/>
      <c r="K2107" s="228"/>
      <c r="L2107"/>
      <c r="M2107"/>
    </row>
    <row r="2108" spans="1:13" s="125" customFormat="1" x14ac:dyDescent="0.25">
      <c r="A2108" s="251"/>
      <c r="B2108" s="255"/>
      <c r="C2108" s="255"/>
      <c r="D2108" s="255"/>
      <c r="E2108" s="255"/>
      <c r="F2108" s="254"/>
      <c r="G2108" s="254"/>
      <c r="H2108" s="254"/>
      <c r="I2108" s="228"/>
      <c r="J2108" s="228"/>
      <c r="K2108" s="228"/>
      <c r="L2108"/>
      <c r="M2108"/>
    </row>
    <row r="2109" spans="1:13" s="125" customFormat="1" x14ac:dyDescent="0.25">
      <c r="A2109" s="251"/>
      <c r="B2109" s="255"/>
      <c r="C2109" s="255"/>
      <c r="D2109" s="255"/>
      <c r="E2109" s="255"/>
      <c r="F2109" s="254"/>
      <c r="G2109" s="254"/>
      <c r="H2109" s="254"/>
      <c r="I2109" s="228"/>
      <c r="J2109" s="228"/>
      <c r="K2109" s="228"/>
      <c r="L2109"/>
      <c r="M2109"/>
    </row>
    <row r="2110" spans="1:13" s="125" customFormat="1" x14ac:dyDescent="0.25">
      <c r="A2110" s="251"/>
      <c r="B2110" s="255"/>
      <c r="C2110" s="255"/>
      <c r="D2110" s="255"/>
      <c r="E2110" s="255"/>
      <c r="F2110" s="254"/>
      <c r="G2110" s="254"/>
      <c r="H2110" s="254"/>
      <c r="I2110" s="228"/>
      <c r="J2110" s="228"/>
      <c r="K2110" s="228"/>
      <c r="L2110"/>
      <c r="M2110"/>
    </row>
    <row r="2111" spans="1:13" s="125" customFormat="1" x14ac:dyDescent="0.25">
      <c r="A2111" s="251"/>
      <c r="B2111" s="255"/>
      <c r="C2111" s="255"/>
      <c r="D2111" s="255"/>
      <c r="E2111" s="255"/>
      <c r="F2111" s="254"/>
      <c r="G2111" s="254"/>
      <c r="H2111" s="254"/>
      <c r="I2111" s="228"/>
      <c r="J2111" s="228"/>
      <c r="K2111" s="228"/>
      <c r="L2111"/>
      <c r="M2111"/>
    </row>
    <row r="2112" spans="1:13" s="125" customFormat="1" x14ac:dyDescent="0.25">
      <c r="A2112" s="251"/>
      <c r="B2112" s="255"/>
      <c r="C2112" s="255"/>
      <c r="D2112" s="255"/>
      <c r="E2112" s="255"/>
      <c r="F2112" s="254"/>
      <c r="G2112" s="254"/>
      <c r="H2112" s="254"/>
      <c r="I2112" s="228"/>
      <c r="J2112" s="228"/>
      <c r="K2112" s="228"/>
      <c r="L2112"/>
      <c r="M2112"/>
    </row>
    <row r="2113" spans="1:13" s="125" customFormat="1" x14ac:dyDescent="0.25">
      <c r="A2113" s="251"/>
      <c r="B2113" s="255"/>
      <c r="C2113" s="255"/>
      <c r="D2113" s="255"/>
      <c r="E2113" s="255"/>
      <c r="F2113" s="254"/>
      <c r="G2113" s="254"/>
      <c r="H2113" s="254"/>
      <c r="I2113" s="228"/>
      <c r="J2113" s="228"/>
      <c r="K2113" s="228"/>
      <c r="L2113"/>
      <c r="M2113"/>
    </row>
    <row r="2114" spans="1:13" s="125" customFormat="1" x14ac:dyDescent="0.25">
      <c r="A2114" s="251"/>
      <c r="B2114" s="255"/>
      <c r="C2114" s="255"/>
      <c r="D2114" s="255"/>
      <c r="E2114" s="255"/>
      <c r="F2114" s="254"/>
      <c r="G2114" s="254"/>
      <c r="H2114" s="254"/>
      <c r="I2114" s="228"/>
      <c r="J2114" s="228"/>
      <c r="K2114" s="228"/>
      <c r="L2114"/>
      <c r="M2114"/>
    </row>
    <row r="2115" spans="1:13" s="125" customFormat="1" x14ac:dyDescent="0.25">
      <c r="A2115" s="251"/>
      <c r="B2115" s="255"/>
      <c r="C2115" s="255"/>
      <c r="D2115" s="255"/>
      <c r="E2115" s="255"/>
      <c r="F2115" s="254"/>
      <c r="G2115" s="254"/>
      <c r="H2115" s="254"/>
      <c r="I2115" s="228"/>
      <c r="J2115" s="228"/>
      <c r="K2115" s="228"/>
      <c r="L2115"/>
      <c r="M2115"/>
    </row>
    <row r="2116" spans="1:13" s="125" customFormat="1" x14ac:dyDescent="0.25">
      <c r="A2116" s="251"/>
      <c r="B2116" s="255"/>
      <c r="C2116" s="255"/>
      <c r="D2116" s="255"/>
      <c r="E2116" s="255"/>
      <c r="F2116" s="254"/>
      <c r="G2116" s="254"/>
      <c r="H2116" s="254"/>
      <c r="I2116" s="228"/>
      <c r="J2116" s="228"/>
      <c r="K2116" s="228"/>
      <c r="L2116"/>
      <c r="M2116"/>
    </row>
    <row r="2117" spans="1:13" s="125" customFormat="1" x14ac:dyDescent="0.25">
      <c r="A2117" s="251"/>
      <c r="B2117" s="255"/>
      <c r="C2117" s="255"/>
      <c r="D2117" s="255"/>
      <c r="E2117" s="255"/>
      <c r="F2117" s="254"/>
      <c r="G2117" s="254"/>
      <c r="H2117" s="254"/>
      <c r="I2117" s="228"/>
      <c r="J2117" s="228"/>
      <c r="K2117" s="228"/>
      <c r="L2117"/>
      <c r="M2117"/>
    </row>
    <row r="2118" spans="1:13" s="125" customFormat="1" x14ac:dyDescent="0.25">
      <c r="A2118" s="251"/>
      <c r="B2118" s="255"/>
      <c r="C2118" s="255"/>
      <c r="D2118" s="255"/>
      <c r="E2118" s="255"/>
      <c r="F2118" s="254"/>
      <c r="G2118" s="254"/>
      <c r="H2118" s="254"/>
      <c r="I2118" s="228"/>
      <c r="J2118" s="228"/>
      <c r="K2118" s="228"/>
      <c r="L2118"/>
      <c r="M2118"/>
    </row>
    <row r="2119" spans="1:13" s="125" customFormat="1" x14ac:dyDescent="0.25">
      <c r="A2119" s="251"/>
      <c r="B2119" s="255"/>
      <c r="C2119" s="255"/>
      <c r="D2119" s="255"/>
      <c r="E2119" s="255"/>
      <c r="F2119" s="254"/>
      <c r="G2119" s="254"/>
      <c r="H2119" s="254"/>
      <c r="I2119" s="228"/>
      <c r="J2119" s="228"/>
      <c r="K2119" s="228"/>
      <c r="L2119"/>
      <c r="M2119"/>
    </row>
    <row r="2120" spans="1:13" s="125" customFormat="1" x14ac:dyDescent="0.25">
      <c r="A2120" s="251"/>
      <c r="B2120" s="255"/>
      <c r="C2120" s="255"/>
      <c r="D2120" s="255"/>
      <c r="E2120" s="255"/>
      <c r="F2120" s="254"/>
      <c r="G2120" s="254"/>
      <c r="H2120" s="254"/>
      <c r="I2120" s="228"/>
      <c r="J2120" s="228"/>
      <c r="K2120" s="228"/>
      <c r="L2120"/>
      <c r="M2120"/>
    </row>
    <row r="2121" spans="1:13" s="125" customFormat="1" x14ac:dyDescent="0.25">
      <c r="A2121" s="251"/>
      <c r="B2121" s="255"/>
      <c r="C2121" s="255"/>
      <c r="D2121" s="255"/>
      <c r="E2121" s="255"/>
      <c r="F2121" s="254"/>
      <c r="G2121" s="254"/>
      <c r="H2121" s="254"/>
      <c r="I2121" s="228"/>
      <c r="J2121" s="228"/>
      <c r="K2121" s="228"/>
      <c r="L2121"/>
      <c r="M2121"/>
    </row>
    <row r="2122" spans="1:13" s="125" customFormat="1" x14ac:dyDescent="0.25">
      <c r="A2122" s="251"/>
      <c r="B2122" s="255"/>
      <c r="C2122" s="255"/>
      <c r="D2122" s="255"/>
      <c r="E2122" s="255"/>
      <c r="F2122" s="254"/>
      <c r="G2122" s="254"/>
      <c r="H2122" s="254"/>
      <c r="I2122" s="228"/>
      <c r="J2122" s="228"/>
      <c r="K2122" s="228"/>
      <c r="L2122"/>
      <c r="M2122"/>
    </row>
    <row r="2123" spans="1:13" s="125" customFormat="1" x14ac:dyDescent="0.25">
      <c r="A2123" s="251"/>
      <c r="B2123" s="255"/>
      <c r="C2123" s="255"/>
      <c r="D2123" s="255"/>
      <c r="E2123" s="255"/>
      <c r="F2123" s="254"/>
      <c r="G2123" s="254"/>
      <c r="H2123" s="254"/>
      <c r="I2123" s="228"/>
      <c r="J2123" s="228"/>
      <c r="K2123" s="228"/>
      <c r="L2123"/>
      <c r="M2123"/>
    </row>
    <row r="2124" spans="1:13" s="125" customFormat="1" x14ac:dyDescent="0.25">
      <c r="A2124" s="251"/>
      <c r="B2124" s="255"/>
      <c r="C2124" s="255"/>
      <c r="D2124" s="255"/>
      <c r="E2124" s="255"/>
      <c r="F2124" s="254"/>
      <c r="G2124" s="254"/>
      <c r="H2124" s="254"/>
      <c r="I2124" s="228"/>
      <c r="J2124" s="228"/>
      <c r="K2124" s="228"/>
      <c r="L2124"/>
      <c r="M2124"/>
    </row>
    <row r="2125" spans="1:13" s="125" customFormat="1" x14ac:dyDescent="0.25">
      <c r="A2125" s="251"/>
      <c r="B2125" s="255"/>
      <c r="C2125" s="255"/>
      <c r="D2125" s="255"/>
      <c r="E2125" s="255"/>
      <c r="F2125" s="254"/>
      <c r="G2125" s="254"/>
      <c r="H2125" s="254"/>
      <c r="I2125" s="228"/>
      <c r="J2125" s="228"/>
      <c r="K2125" s="228"/>
      <c r="L2125"/>
      <c r="M2125"/>
    </row>
    <row r="2126" spans="1:13" s="125" customFormat="1" x14ac:dyDescent="0.25">
      <c r="A2126" s="251"/>
      <c r="B2126" s="255"/>
      <c r="C2126" s="255"/>
      <c r="D2126" s="255"/>
      <c r="E2126" s="255"/>
      <c r="F2126" s="254"/>
      <c r="G2126" s="254"/>
      <c r="H2126" s="254"/>
      <c r="I2126" s="228"/>
      <c r="J2126" s="228"/>
      <c r="K2126" s="228"/>
      <c r="L2126"/>
      <c r="M2126"/>
    </row>
    <row r="2127" spans="1:13" s="125" customFormat="1" x14ac:dyDescent="0.25">
      <c r="A2127" s="251"/>
      <c r="B2127" s="255"/>
      <c r="C2127" s="255"/>
      <c r="D2127" s="255"/>
      <c r="E2127" s="255"/>
      <c r="F2127" s="254"/>
      <c r="G2127" s="254"/>
      <c r="H2127" s="254"/>
      <c r="I2127" s="228"/>
      <c r="J2127" s="228"/>
      <c r="K2127" s="228"/>
      <c r="L2127"/>
      <c r="M2127"/>
    </row>
    <row r="2128" spans="1:13" s="125" customFormat="1" x14ac:dyDescent="0.25">
      <c r="A2128" s="251"/>
      <c r="B2128" s="255"/>
      <c r="C2128" s="255"/>
      <c r="D2128" s="255"/>
      <c r="E2128" s="255"/>
      <c r="F2128" s="254"/>
      <c r="G2128" s="254"/>
      <c r="H2128" s="254"/>
      <c r="I2128" s="228"/>
      <c r="J2128" s="228"/>
      <c r="K2128" s="228"/>
      <c r="L2128"/>
      <c r="M2128"/>
    </row>
    <row r="2129" spans="1:13" s="125" customFormat="1" x14ac:dyDescent="0.25">
      <c r="A2129" s="251"/>
      <c r="B2129" s="255"/>
      <c r="C2129" s="255"/>
      <c r="D2129" s="255"/>
      <c r="E2129" s="255"/>
      <c r="F2129" s="254"/>
      <c r="G2129" s="254"/>
      <c r="H2129" s="254"/>
      <c r="I2129" s="228"/>
      <c r="J2129" s="228"/>
      <c r="K2129" s="228"/>
      <c r="L2129"/>
      <c r="M2129"/>
    </row>
    <row r="2130" spans="1:13" s="125" customFormat="1" x14ac:dyDescent="0.25">
      <c r="A2130" s="251"/>
      <c r="B2130" s="255"/>
      <c r="C2130" s="255"/>
      <c r="D2130" s="255"/>
      <c r="E2130" s="255"/>
      <c r="F2130" s="254"/>
      <c r="G2130" s="254"/>
      <c r="H2130" s="254"/>
      <c r="I2130" s="228"/>
      <c r="J2130" s="228"/>
      <c r="K2130" s="228"/>
      <c r="L2130"/>
      <c r="M2130"/>
    </row>
    <row r="2131" spans="1:13" s="125" customFormat="1" x14ac:dyDescent="0.25">
      <c r="A2131" s="251"/>
      <c r="B2131" s="255"/>
      <c r="C2131" s="255"/>
      <c r="D2131" s="255"/>
      <c r="E2131" s="255"/>
      <c r="F2131" s="254"/>
      <c r="G2131" s="254"/>
      <c r="H2131" s="254"/>
      <c r="I2131" s="228"/>
      <c r="J2131" s="228"/>
      <c r="K2131" s="228"/>
      <c r="L2131"/>
      <c r="M2131"/>
    </row>
    <row r="2132" spans="1:13" s="125" customFormat="1" x14ac:dyDescent="0.25">
      <c r="A2132" s="251"/>
      <c r="B2132" s="255"/>
      <c r="C2132" s="255"/>
      <c r="D2132" s="255"/>
      <c r="E2132" s="255"/>
      <c r="F2132" s="254"/>
      <c r="G2132" s="254"/>
      <c r="H2132" s="254"/>
      <c r="I2132" s="228"/>
      <c r="J2132" s="228"/>
      <c r="K2132" s="228"/>
      <c r="L2132"/>
      <c r="M2132"/>
    </row>
    <row r="2133" spans="1:13" s="125" customFormat="1" x14ac:dyDescent="0.25">
      <c r="A2133" s="251"/>
      <c r="B2133" s="255"/>
      <c r="C2133" s="255"/>
      <c r="D2133" s="255"/>
      <c r="E2133" s="255"/>
      <c r="F2133" s="254"/>
      <c r="G2133" s="254"/>
      <c r="H2133" s="254"/>
      <c r="I2133" s="228"/>
      <c r="J2133" s="228"/>
      <c r="K2133" s="228"/>
      <c r="L2133"/>
      <c r="M2133"/>
    </row>
    <row r="2134" spans="1:13" s="125" customFormat="1" x14ac:dyDescent="0.25">
      <c r="A2134" s="251"/>
      <c r="B2134" s="255"/>
      <c r="C2134" s="255"/>
      <c r="D2134" s="255"/>
      <c r="E2134" s="255"/>
      <c r="F2134" s="254"/>
      <c r="G2134" s="254"/>
      <c r="H2134" s="254"/>
      <c r="I2134" s="228"/>
      <c r="J2134" s="228"/>
      <c r="K2134" s="228"/>
      <c r="L2134"/>
      <c r="M2134"/>
    </row>
    <row r="2135" spans="1:13" s="125" customFormat="1" x14ac:dyDescent="0.25">
      <c r="A2135" s="251"/>
      <c r="B2135" s="255"/>
      <c r="C2135" s="255"/>
      <c r="D2135" s="255"/>
      <c r="E2135" s="255"/>
      <c r="F2135" s="254"/>
      <c r="G2135" s="254"/>
      <c r="H2135" s="254"/>
      <c r="I2135" s="228"/>
      <c r="J2135" s="228"/>
      <c r="K2135" s="228"/>
      <c r="L2135"/>
      <c r="M2135"/>
    </row>
    <row r="2136" spans="1:13" s="125" customFormat="1" x14ac:dyDescent="0.25">
      <c r="A2136" s="251"/>
      <c r="B2136" s="255"/>
      <c r="C2136" s="255"/>
      <c r="D2136" s="255"/>
      <c r="E2136" s="255"/>
      <c r="F2136" s="254"/>
      <c r="G2136" s="254"/>
      <c r="H2136" s="254"/>
      <c r="I2136" s="228"/>
      <c r="J2136" s="228"/>
      <c r="K2136" s="228"/>
      <c r="L2136"/>
      <c r="M2136"/>
    </row>
    <row r="2137" spans="1:13" s="125" customFormat="1" x14ac:dyDescent="0.25">
      <c r="A2137" s="251"/>
      <c r="B2137" s="255"/>
      <c r="C2137" s="255"/>
      <c r="D2137" s="255"/>
      <c r="E2137" s="255"/>
      <c r="F2137" s="254"/>
      <c r="G2137" s="254"/>
      <c r="H2137" s="254"/>
      <c r="I2137" s="228"/>
      <c r="J2137" s="228"/>
      <c r="K2137" s="228"/>
      <c r="L2137"/>
      <c r="M2137"/>
    </row>
    <row r="2138" spans="1:13" s="125" customFormat="1" x14ac:dyDescent="0.25">
      <c r="A2138" s="251"/>
      <c r="B2138" s="255"/>
      <c r="C2138" s="255"/>
      <c r="D2138" s="255"/>
      <c r="E2138" s="255"/>
      <c r="F2138" s="254"/>
      <c r="G2138" s="254"/>
      <c r="H2138" s="254"/>
      <c r="I2138" s="228"/>
      <c r="J2138" s="228"/>
      <c r="K2138" s="228"/>
      <c r="L2138"/>
      <c r="M2138"/>
    </row>
    <row r="2139" spans="1:13" s="125" customFormat="1" x14ac:dyDescent="0.25">
      <c r="A2139" s="251"/>
      <c r="B2139" s="255"/>
      <c r="C2139" s="255"/>
      <c r="D2139" s="255"/>
      <c r="E2139" s="255"/>
      <c r="F2139" s="254"/>
      <c r="G2139" s="254"/>
      <c r="H2139" s="254"/>
      <c r="I2139" s="228"/>
      <c r="J2139" s="228"/>
      <c r="K2139" s="228"/>
      <c r="L2139"/>
      <c r="M2139"/>
    </row>
    <row r="2140" spans="1:13" s="125" customFormat="1" x14ac:dyDescent="0.25">
      <c r="A2140" s="251"/>
      <c r="B2140" s="255"/>
      <c r="C2140" s="255"/>
      <c r="D2140" s="255"/>
      <c r="E2140" s="255"/>
      <c r="F2140" s="254"/>
      <c r="G2140" s="254"/>
      <c r="H2140" s="254"/>
      <c r="I2140" s="228"/>
      <c r="J2140" s="228"/>
      <c r="K2140" s="228"/>
      <c r="L2140"/>
      <c r="M2140"/>
    </row>
    <row r="2141" spans="1:13" s="125" customFormat="1" x14ac:dyDescent="0.25">
      <c r="A2141" s="251"/>
      <c r="B2141" s="255"/>
      <c r="C2141" s="255"/>
      <c r="D2141" s="255"/>
      <c r="E2141" s="255"/>
      <c r="F2141" s="254"/>
      <c r="G2141" s="254"/>
      <c r="H2141" s="254"/>
      <c r="I2141" s="228"/>
      <c r="J2141" s="228"/>
      <c r="K2141" s="228"/>
      <c r="L2141"/>
      <c r="M2141"/>
    </row>
    <row r="2142" spans="1:13" s="125" customFormat="1" x14ac:dyDescent="0.25">
      <c r="A2142" s="251"/>
      <c r="B2142" s="255"/>
      <c r="C2142" s="255"/>
      <c r="D2142" s="255"/>
      <c r="E2142" s="255"/>
      <c r="F2142" s="254"/>
      <c r="G2142" s="254"/>
      <c r="H2142" s="254"/>
      <c r="I2142" s="228"/>
      <c r="J2142" s="228"/>
      <c r="K2142" s="228"/>
      <c r="L2142"/>
      <c r="M2142"/>
    </row>
    <row r="2143" spans="1:13" s="125" customFormat="1" x14ac:dyDescent="0.25">
      <c r="A2143" s="251"/>
      <c r="B2143" s="255"/>
      <c r="C2143" s="255"/>
      <c r="D2143" s="255"/>
      <c r="E2143" s="255"/>
      <c r="F2143" s="254"/>
      <c r="G2143" s="254"/>
      <c r="H2143" s="254"/>
      <c r="I2143" s="228"/>
      <c r="J2143" s="228"/>
      <c r="K2143" s="228"/>
      <c r="L2143"/>
      <c r="M2143"/>
    </row>
    <row r="2144" spans="1:13" s="125" customFormat="1" x14ac:dyDescent="0.25">
      <c r="A2144" s="251"/>
      <c r="B2144" s="255"/>
      <c r="C2144" s="255"/>
      <c r="D2144" s="255"/>
      <c r="E2144" s="255"/>
      <c r="F2144" s="254"/>
      <c r="G2144" s="254"/>
      <c r="H2144" s="254"/>
      <c r="I2144" s="228"/>
      <c r="J2144" s="228"/>
      <c r="K2144" s="228"/>
      <c r="L2144"/>
      <c r="M2144"/>
    </row>
    <row r="2145" spans="1:13" s="125" customFormat="1" x14ac:dyDescent="0.25">
      <c r="A2145" s="251"/>
      <c r="B2145" s="255"/>
      <c r="C2145" s="255"/>
      <c r="D2145" s="255"/>
      <c r="E2145" s="255"/>
      <c r="F2145" s="254"/>
      <c r="G2145" s="254"/>
      <c r="H2145" s="254"/>
      <c r="I2145" s="228"/>
      <c r="J2145" s="228"/>
      <c r="K2145" s="228"/>
      <c r="L2145"/>
      <c r="M2145"/>
    </row>
    <row r="2146" spans="1:13" s="125" customFormat="1" x14ac:dyDescent="0.25">
      <c r="A2146" s="251"/>
      <c r="B2146" s="255"/>
      <c r="C2146" s="255"/>
      <c r="D2146" s="255"/>
      <c r="E2146" s="255"/>
      <c r="F2146" s="254"/>
      <c r="G2146" s="254"/>
      <c r="H2146" s="254"/>
      <c r="I2146" s="228"/>
      <c r="J2146" s="228"/>
      <c r="K2146" s="228"/>
      <c r="L2146"/>
      <c r="M2146"/>
    </row>
    <row r="2147" spans="1:13" s="125" customFormat="1" x14ac:dyDescent="0.25">
      <c r="A2147" s="251"/>
      <c r="B2147" s="255"/>
      <c r="C2147" s="255"/>
      <c r="D2147" s="255"/>
      <c r="E2147" s="255"/>
      <c r="F2147" s="254"/>
      <c r="G2147" s="254"/>
      <c r="H2147" s="254"/>
      <c r="I2147" s="228"/>
      <c r="J2147" s="228"/>
      <c r="K2147" s="228"/>
      <c r="L2147"/>
      <c r="M2147"/>
    </row>
    <row r="2148" spans="1:13" s="125" customFormat="1" x14ac:dyDescent="0.25">
      <c r="A2148" s="251"/>
      <c r="B2148" s="255"/>
      <c r="C2148" s="255"/>
      <c r="D2148" s="255"/>
      <c r="E2148" s="255"/>
      <c r="F2148" s="254"/>
      <c r="G2148" s="254"/>
      <c r="H2148" s="254"/>
      <c r="I2148" s="228"/>
      <c r="J2148" s="228"/>
      <c r="K2148" s="228"/>
      <c r="L2148"/>
      <c r="M2148"/>
    </row>
    <row r="2149" spans="1:13" s="125" customFormat="1" x14ac:dyDescent="0.25">
      <c r="A2149" s="251"/>
      <c r="B2149" s="255"/>
      <c r="C2149" s="255"/>
      <c r="D2149" s="255"/>
      <c r="E2149" s="255"/>
      <c r="F2149" s="254"/>
      <c r="G2149" s="254"/>
      <c r="H2149" s="254"/>
      <c r="I2149" s="228"/>
      <c r="J2149" s="228"/>
      <c r="K2149" s="228"/>
      <c r="L2149"/>
      <c r="M2149"/>
    </row>
    <row r="2150" spans="1:13" s="125" customFormat="1" x14ac:dyDescent="0.25">
      <c r="A2150" s="251"/>
      <c r="B2150" s="255"/>
      <c r="C2150" s="255"/>
      <c r="D2150" s="255"/>
      <c r="E2150" s="255"/>
      <c r="F2150" s="254"/>
      <c r="G2150" s="254"/>
      <c r="H2150" s="254"/>
      <c r="I2150" s="228"/>
      <c r="J2150" s="228"/>
      <c r="K2150" s="228"/>
      <c r="L2150"/>
      <c r="M2150"/>
    </row>
    <row r="2151" spans="1:13" s="125" customFormat="1" x14ac:dyDescent="0.25">
      <c r="A2151" s="251"/>
      <c r="B2151" s="255"/>
      <c r="C2151" s="255"/>
      <c r="D2151" s="255"/>
      <c r="E2151" s="255"/>
      <c r="F2151" s="254"/>
      <c r="G2151" s="254"/>
      <c r="H2151" s="254"/>
      <c r="I2151" s="228"/>
      <c r="J2151" s="228"/>
      <c r="K2151" s="228"/>
      <c r="L2151"/>
      <c r="M2151"/>
    </row>
    <row r="2152" spans="1:13" s="125" customFormat="1" x14ac:dyDescent="0.25">
      <c r="A2152" s="251"/>
      <c r="B2152" s="255"/>
      <c r="C2152" s="255"/>
      <c r="D2152" s="255"/>
      <c r="E2152" s="255"/>
      <c r="F2152" s="254"/>
      <c r="G2152" s="254"/>
      <c r="H2152" s="254"/>
      <c r="I2152" s="228"/>
      <c r="J2152" s="228"/>
      <c r="K2152" s="228"/>
      <c r="L2152"/>
      <c r="M2152"/>
    </row>
    <row r="2153" spans="1:13" s="125" customFormat="1" x14ac:dyDescent="0.25">
      <c r="A2153" s="251"/>
      <c r="B2153" s="255"/>
      <c r="C2153" s="255"/>
      <c r="D2153" s="255"/>
      <c r="E2153" s="255"/>
      <c r="F2153" s="254"/>
      <c r="G2153" s="254"/>
      <c r="H2153" s="254"/>
      <c r="I2153" s="228"/>
      <c r="J2153" s="228"/>
      <c r="K2153" s="228"/>
      <c r="L2153"/>
      <c r="M2153"/>
    </row>
    <row r="2154" spans="1:13" s="125" customFormat="1" x14ac:dyDescent="0.25">
      <c r="A2154" s="251"/>
      <c r="B2154" s="255"/>
      <c r="C2154" s="255"/>
      <c r="D2154" s="255"/>
      <c r="E2154" s="255"/>
      <c r="F2154" s="254"/>
      <c r="G2154" s="254"/>
      <c r="H2154" s="254"/>
      <c r="I2154" s="228"/>
      <c r="J2154" s="228"/>
      <c r="K2154" s="228"/>
      <c r="L2154"/>
      <c r="M2154"/>
    </row>
    <row r="2155" spans="1:13" s="125" customFormat="1" x14ac:dyDescent="0.25">
      <c r="A2155" s="251"/>
      <c r="B2155" s="255"/>
      <c r="C2155" s="255"/>
      <c r="D2155" s="255"/>
      <c r="E2155" s="255"/>
      <c r="F2155" s="254"/>
      <c r="G2155" s="254"/>
      <c r="H2155" s="254"/>
      <c r="I2155" s="228"/>
      <c r="J2155" s="228"/>
      <c r="K2155" s="228"/>
      <c r="L2155"/>
      <c r="M2155"/>
    </row>
    <row r="2156" spans="1:13" s="125" customFormat="1" x14ac:dyDescent="0.25">
      <c r="A2156" s="251"/>
      <c r="B2156" s="255"/>
      <c r="C2156" s="255"/>
      <c r="D2156" s="255"/>
      <c r="E2156" s="255"/>
      <c r="F2156" s="254"/>
      <c r="G2156" s="254"/>
      <c r="H2156" s="254"/>
      <c r="I2156" s="228"/>
      <c r="J2156" s="228"/>
      <c r="K2156" s="228"/>
      <c r="L2156"/>
      <c r="M2156"/>
    </row>
    <row r="2157" spans="1:13" s="125" customFormat="1" x14ac:dyDescent="0.25">
      <c r="A2157" s="251"/>
      <c r="B2157" s="255"/>
      <c r="C2157" s="255"/>
      <c r="D2157" s="255"/>
      <c r="E2157" s="255"/>
      <c r="F2157" s="254"/>
      <c r="G2157" s="254"/>
      <c r="H2157" s="254"/>
      <c r="I2157" s="228"/>
      <c r="J2157" s="228"/>
      <c r="K2157" s="228"/>
      <c r="L2157"/>
      <c r="M2157"/>
    </row>
    <row r="2158" spans="1:13" s="125" customFormat="1" x14ac:dyDescent="0.25">
      <c r="A2158" s="251"/>
      <c r="B2158" s="255"/>
      <c r="C2158" s="255"/>
      <c r="D2158" s="255"/>
      <c r="E2158" s="255"/>
      <c r="F2158" s="254"/>
      <c r="G2158" s="254"/>
      <c r="H2158" s="254"/>
      <c r="I2158" s="228"/>
      <c r="J2158" s="228"/>
      <c r="K2158" s="228"/>
      <c r="L2158"/>
      <c r="M2158"/>
    </row>
    <row r="2159" spans="1:13" s="125" customFormat="1" x14ac:dyDescent="0.25">
      <c r="A2159" s="251"/>
      <c r="B2159" s="255"/>
      <c r="C2159" s="255"/>
      <c r="D2159" s="255"/>
      <c r="E2159" s="255"/>
      <c r="F2159" s="254"/>
      <c r="G2159" s="254"/>
      <c r="H2159" s="254"/>
      <c r="I2159" s="228"/>
      <c r="J2159" s="228"/>
      <c r="K2159" s="228"/>
      <c r="L2159"/>
      <c r="M2159"/>
    </row>
    <row r="2160" spans="1:13" s="125" customFormat="1" x14ac:dyDescent="0.25">
      <c r="A2160" s="251"/>
      <c r="B2160" s="255"/>
      <c r="C2160" s="255"/>
      <c r="D2160" s="255"/>
      <c r="E2160" s="255"/>
      <c r="F2160" s="254"/>
      <c r="G2160" s="254"/>
      <c r="H2160" s="254"/>
      <c r="I2160" s="228"/>
      <c r="J2160" s="228"/>
      <c r="K2160" s="228"/>
      <c r="L2160"/>
      <c r="M2160"/>
    </row>
    <row r="2161" spans="1:13" s="125" customFormat="1" x14ac:dyDescent="0.25">
      <c r="A2161" s="251"/>
      <c r="B2161" s="255"/>
      <c r="C2161" s="255"/>
      <c r="D2161" s="255"/>
      <c r="E2161" s="255"/>
      <c r="F2161" s="254"/>
      <c r="G2161" s="254"/>
      <c r="H2161" s="254"/>
      <c r="I2161" s="228"/>
      <c r="J2161" s="228"/>
      <c r="K2161" s="228"/>
      <c r="L2161"/>
      <c r="M2161"/>
    </row>
    <row r="2162" spans="1:13" s="125" customFormat="1" x14ac:dyDescent="0.25">
      <c r="A2162" s="251"/>
      <c r="B2162" s="255"/>
      <c r="C2162" s="255"/>
      <c r="D2162" s="255"/>
      <c r="E2162" s="255"/>
      <c r="F2162" s="254"/>
      <c r="G2162" s="254"/>
      <c r="H2162" s="254"/>
      <c r="I2162" s="228"/>
      <c r="J2162" s="228"/>
      <c r="K2162" s="228"/>
      <c r="L2162"/>
      <c r="M2162"/>
    </row>
    <row r="2163" spans="1:13" s="125" customFormat="1" x14ac:dyDescent="0.25">
      <c r="A2163" s="251"/>
      <c r="B2163" s="255"/>
      <c r="C2163" s="255"/>
      <c r="D2163" s="255"/>
      <c r="E2163" s="255"/>
      <c r="F2163" s="254"/>
      <c r="G2163" s="254"/>
      <c r="H2163" s="254"/>
      <c r="I2163" s="228"/>
      <c r="J2163" s="228"/>
      <c r="K2163" s="228"/>
      <c r="L2163"/>
      <c r="M2163"/>
    </row>
    <row r="2164" spans="1:13" s="125" customFormat="1" x14ac:dyDescent="0.25">
      <c r="A2164" s="251"/>
      <c r="B2164" s="255"/>
      <c r="C2164" s="255"/>
      <c r="D2164" s="255"/>
      <c r="E2164" s="255"/>
      <c r="F2164" s="254"/>
      <c r="G2164" s="254"/>
      <c r="H2164" s="254"/>
      <c r="I2164" s="228"/>
      <c r="J2164" s="228"/>
      <c r="K2164" s="228"/>
      <c r="L2164"/>
      <c r="M2164"/>
    </row>
    <row r="2165" spans="1:13" s="125" customFormat="1" x14ac:dyDescent="0.25">
      <c r="A2165" s="251"/>
      <c r="B2165" s="255"/>
      <c r="C2165" s="255"/>
      <c r="D2165" s="255"/>
      <c r="E2165" s="255"/>
      <c r="F2165" s="254"/>
      <c r="G2165" s="254"/>
      <c r="H2165" s="254"/>
      <c r="I2165" s="228"/>
      <c r="J2165" s="228"/>
      <c r="K2165" s="228"/>
      <c r="L2165"/>
      <c r="M2165"/>
    </row>
    <row r="2166" spans="1:13" s="125" customFormat="1" x14ac:dyDescent="0.25">
      <c r="A2166" s="251"/>
      <c r="B2166" s="255"/>
      <c r="C2166" s="255"/>
      <c r="D2166" s="255"/>
      <c r="E2166" s="255"/>
      <c r="F2166" s="254"/>
      <c r="G2166" s="254"/>
      <c r="H2166" s="254"/>
      <c r="I2166" s="228"/>
      <c r="J2166" s="228"/>
      <c r="K2166" s="228"/>
      <c r="L2166"/>
      <c r="M2166"/>
    </row>
    <row r="2167" spans="1:13" s="125" customFormat="1" x14ac:dyDescent="0.25">
      <c r="A2167" s="251"/>
      <c r="B2167" s="255"/>
      <c r="C2167" s="255"/>
      <c r="D2167" s="255"/>
      <c r="E2167" s="255"/>
      <c r="F2167" s="254"/>
      <c r="G2167" s="254"/>
      <c r="H2167" s="254"/>
      <c r="I2167" s="228"/>
      <c r="J2167" s="228"/>
      <c r="K2167" s="228"/>
      <c r="L2167"/>
      <c r="M2167"/>
    </row>
    <row r="2168" spans="1:13" s="125" customFormat="1" x14ac:dyDescent="0.25">
      <c r="A2168" s="251"/>
      <c r="B2168" s="255"/>
      <c r="C2168" s="255"/>
      <c r="D2168" s="255"/>
      <c r="E2168" s="255"/>
      <c r="F2168" s="254"/>
      <c r="G2168" s="254"/>
      <c r="H2168" s="254"/>
      <c r="I2168" s="228"/>
      <c r="J2168" s="228"/>
      <c r="K2168" s="228"/>
      <c r="L2168"/>
      <c r="M2168"/>
    </row>
    <row r="2169" spans="1:13" s="125" customFormat="1" x14ac:dyDescent="0.25">
      <c r="A2169" s="251"/>
      <c r="B2169" s="255"/>
      <c r="C2169" s="255"/>
      <c r="D2169" s="255"/>
      <c r="E2169" s="255"/>
      <c r="F2169" s="254"/>
      <c r="G2169" s="254"/>
      <c r="H2169" s="254"/>
      <c r="I2169" s="228"/>
      <c r="J2169" s="228"/>
      <c r="K2169" s="228"/>
      <c r="L2169"/>
      <c r="M2169"/>
    </row>
    <row r="2170" spans="1:13" s="125" customFormat="1" x14ac:dyDescent="0.25">
      <c r="A2170" s="251"/>
      <c r="B2170" s="255"/>
      <c r="C2170" s="255"/>
      <c r="D2170" s="255"/>
      <c r="E2170" s="255"/>
      <c r="F2170" s="254"/>
      <c r="G2170" s="254"/>
      <c r="H2170" s="254"/>
      <c r="I2170" s="228"/>
      <c r="J2170" s="228"/>
      <c r="K2170" s="228"/>
      <c r="L2170"/>
      <c r="M2170"/>
    </row>
    <row r="2171" spans="1:13" s="125" customFormat="1" x14ac:dyDescent="0.25">
      <c r="A2171" s="251"/>
      <c r="B2171" s="255"/>
      <c r="C2171" s="255"/>
      <c r="D2171" s="255"/>
      <c r="E2171" s="255"/>
      <c r="F2171" s="254"/>
      <c r="G2171" s="254"/>
      <c r="H2171" s="254"/>
      <c r="I2171" s="228"/>
      <c r="J2171" s="228"/>
      <c r="K2171" s="228"/>
      <c r="L2171"/>
      <c r="M2171"/>
    </row>
    <row r="2172" spans="1:13" s="125" customFormat="1" x14ac:dyDescent="0.25">
      <c r="A2172" s="251"/>
      <c r="B2172" s="255"/>
      <c r="C2172" s="255"/>
      <c r="D2172" s="255"/>
      <c r="E2172" s="255"/>
      <c r="F2172" s="254"/>
      <c r="G2172" s="254"/>
      <c r="H2172" s="254"/>
      <c r="I2172" s="228"/>
      <c r="J2172" s="228"/>
      <c r="K2172" s="228"/>
      <c r="L2172"/>
      <c r="M2172"/>
    </row>
    <row r="2173" spans="1:13" s="125" customFormat="1" x14ac:dyDescent="0.25">
      <c r="A2173" s="251"/>
      <c r="B2173" s="255"/>
      <c r="C2173" s="255"/>
      <c r="D2173" s="255"/>
      <c r="E2173" s="255"/>
      <c r="F2173" s="254"/>
      <c r="G2173" s="254"/>
      <c r="H2173" s="254"/>
      <c r="I2173" s="228"/>
      <c r="J2173" s="228"/>
      <c r="K2173" s="228"/>
      <c r="L2173"/>
      <c r="M2173"/>
    </row>
    <row r="2174" spans="1:13" s="125" customFormat="1" x14ac:dyDescent="0.25">
      <c r="A2174" s="251"/>
      <c r="B2174" s="255"/>
      <c r="C2174" s="255"/>
      <c r="D2174" s="255"/>
      <c r="E2174" s="255"/>
      <c r="F2174" s="254"/>
      <c r="G2174" s="254"/>
      <c r="H2174" s="254"/>
      <c r="I2174" s="228"/>
      <c r="J2174" s="228"/>
      <c r="K2174" s="228"/>
      <c r="L2174"/>
      <c r="M2174"/>
    </row>
    <row r="2175" spans="1:13" s="125" customFormat="1" x14ac:dyDescent="0.25">
      <c r="A2175" s="251"/>
      <c r="B2175" s="255"/>
      <c r="C2175" s="255"/>
      <c r="D2175" s="255"/>
      <c r="E2175" s="255"/>
      <c r="F2175" s="254"/>
      <c r="G2175" s="254"/>
      <c r="H2175" s="254"/>
      <c r="I2175" s="228"/>
      <c r="J2175" s="228"/>
      <c r="K2175" s="228"/>
      <c r="L2175"/>
      <c r="M2175"/>
    </row>
    <row r="2176" spans="1:13" s="125" customFormat="1" x14ac:dyDescent="0.25">
      <c r="A2176" s="251"/>
      <c r="B2176" s="255"/>
      <c r="C2176" s="255"/>
      <c r="D2176" s="255"/>
      <c r="E2176" s="255"/>
      <c r="F2176" s="254"/>
      <c r="G2176" s="254"/>
      <c r="H2176" s="254"/>
      <c r="I2176" s="228"/>
      <c r="J2176" s="228"/>
      <c r="K2176" s="228"/>
      <c r="L2176"/>
      <c r="M2176"/>
    </row>
    <row r="2177" spans="1:13" s="125" customFormat="1" x14ac:dyDescent="0.25">
      <c r="A2177" s="251"/>
      <c r="B2177" s="255"/>
      <c r="C2177" s="255"/>
      <c r="D2177" s="255"/>
      <c r="E2177" s="255"/>
      <c r="F2177" s="254"/>
      <c r="G2177" s="254"/>
      <c r="H2177" s="254"/>
      <c r="I2177" s="228"/>
      <c r="J2177" s="228"/>
      <c r="K2177" s="228"/>
      <c r="L2177"/>
      <c r="M2177"/>
    </row>
    <row r="2178" spans="1:13" s="125" customFormat="1" x14ac:dyDescent="0.25">
      <c r="A2178" s="251"/>
      <c r="B2178" s="255"/>
      <c r="C2178" s="255"/>
      <c r="D2178" s="255"/>
      <c r="E2178" s="255"/>
      <c r="F2178" s="254"/>
      <c r="G2178" s="254"/>
      <c r="H2178" s="254"/>
      <c r="I2178" s="228"/>
      <c r="J2178" s="228"/>
      <c r="K2178" s="228"/>
      <c r="L2178"/>
      <c r="M2178"/>
    </row>
    <row r="2179" spans="1:13" s="125" customFormat="1" x14ac:dyDescent="0.25">
      <c r="A2179" s="251"/>
      <c r="B2179" s="255"/>
      <c r="C2179" s="255"/>
      <c r="D2179" s="255"/>
      <c r="E2179" s="255"/>
      <c r="F2179" s="254"/>
      <c r="G2179" s="254"/>
      <c r="H2179" s="254"/>
      <c r="I2179" s="228"/>
      <c r="J2179" s="228"/>
      <c r="K2179" s="228"/>
      <c r="L2179"/>
      <c r="M2179"/>
    </row>
    <row r="2180" spans="1:13" s="125" customFormat="1" x14ac:dyDescent="0.25">
      <c r="A2180" s="251"/>
      <c r="B2180" s="255"/>
      <c r="C2180" s="255"/>
      <c r="D2180" s="255"/>
      <c r="E2180" s="255"/>
      <c r="F2180" s="254"/>
      <c r="G2180" s="254"/>
      <c r="H2180" s="254"/>
      <c r="I2180" s="228"/>
      <c r="J2180" s="228"/>
      <c r="K2180" s="228"/>
      <c r="L2180"/>
      <c r="M2180"/>
    </row>
    <row r="2181" spans="1:13" s="125" customFormat="1" x14ac:dyDescent="0.25">
      <c r="A2181" s="251"/>
      <c r="B2181" s="255"/>
      <c r="C2181" s="255"/>
      <c r="D2181" s="255"/>
      <c r="E2181" s="255"/>
      <c r="F2181" s="254"/>
      <c r="G2181" s="254"/>
      <c r="H2181" s="254"/>
      <c r="I2181" s="228"/>
      <c r="J2181" s="228"/>
      <c r="K2181" s="228"/>
      <c r="L2181"/>
      <c r="M2181"/>
    </row>
    <row r="2182" spans="1:13" s="125" customFormat="1" x14ac:dyDescent="0.25">
      <c r="A2182" s="251"/>
      <c r="B2182" s="255"/>
      <c r="C2182" s="255"/>
      <c r="D2182" s="255"/>
      <c r="E2182" s="255"/>
      <c r="F2182" s="254"/>
      <c r="G2182" s="254"/>
      <c r="H2182" s="254"/>
      <c r="I2182" s="228"/>
      <c r="J2182" s="228"/>
      <c r="K2182" s="228"/>
      <c r="L2182"/>
      <c r="M2182"/>
    </row>
    <row r="2183" spans="1:13" s="125" customFormat="1" x14ac:dyDescent="0.25">
      <c r="A2183" s="251"/>
      <c r="B2183" s="255"/>
      <c r="C2183" s="255"/>
      <c r="D2183" s="255"/>
      <c r="E2183" s="255"/>
      <c r="F2183" s="254"/>
      <c r="G2183" s="254"/>
      <c r="H2183" s="254"/>
      <c r="I2183" s="228"/>
      <c r="J2183" s="228"/>
      <c r="K2183" s="228"/>
      <c r="L2183"/>
      <c r="M2183"/>
    </row>
    <row r="2184" spans="1:13" s="125" customFormat="1" x14ac:dyDescent="0.25">
      <c r="A2184" s="251"/>
      <c r="B2184" s="255"/>
      <c r="C2184" s="255"/>
      <c r="D2184" s="255"/>
      <c r="E2184" s="255"/>
      <c r="F2184" s="254"/>
      <c r="G2184" s="254"/>
      <c r="H2184" s="254"/>
      <c r="I2184" s="228"/>
      <c r="J2184" s="228"/>
      <c r="K2184" s="228"/>
      <c r="L2184"/>
      <c r="M2184"/>
    </row>
    <row r="2185" spans="1:13" s="125" customFormat="1" x14ac:dyDescent="0.25">
      <c r="A2185" s="251"/>
      <c r="B2185" s="255"/>
      <c r="C2185" s="255"/>
      <c r="D2185" s="255"/>
      <c r="E2185" s="255"/>
      <c r="F2185" s="254"/>
      <c r="G2185" s="254"/>
      <c r="H2185" s="254"/>
      <c r="I2185" s="228"/>
      <c r="J2185" s="228"/>
      <c r="K2185" s="228"/>
      <c r="L2185"/>
      <c r="M2185"/>
    </row>
    <row r="2186" spans="1:13" s="125" customFormat="1" x14ac:dyDescent="0.25">
      <c r="A2186" s="251"/>
      <c r="B2186" s="255"/>
      <c r="C2186" s="255"/>
      <c r="D2186" s="255"/>
      <c r="E2186" s="255"/>
      <c r="F2186" s="254"/>
      <c r="G2186" s="254"/>
      <c r="H2186" s="254"/>
      <c r="I2186" s="228"/>
      <c r="J2186" s="228"/>
      <c r="K2186" s="228"/>
      <c r="L2186"/>
      <c r="M2186"/>
    </row>
    <row r="2187" spans="1:13" s="125" customFormat="1" x14ac:dyDescent="0.25">
      <c r="A2187" s="251"/>
      <c r="B2187" s="255"/>
      <c r="C2187" s="255"/>
      <c r="D2187" s="255"/>
      <c r="E2187" s="255"/>
      <c r="F2187" s="254"/>
      <c r="G2187" s="254"/>
      <c r="H2187" s="254"/>
      <c r="I2187" s="228"/>
      <c r="J2187" s="228"/>
      <c r="K2187" s="228"/>
      <c r="L2187"/>
      <c r="M2187"/>
    </row>
    <row r="2188" spans="1:13" s="125" customFormat="1" x14ac:dyDescent="0.25">
      <c r="A2188" s="251"/>
      <c r="B2188" s="255"/>
      <c r="C2188" s="255"/>
      <c r="D2188" s="255"/>
      <c r="E2188" s="255"/>
      <c r="F2188" s="254"/>
      <c r="G2188" s="254"/>
      <c r="H2188" s="254"/>
      <c r="I2188" s="228"/>
      <c r="J2188" s="228"/>
      <c r="K2188" s="228"/>
      <c r="L2188"/>
      <c r="M2188"/>
    </row>
    <row r="2189" spans="1:13" s="125" customFormat="1" x14ac:dyDescent="0.25">
      <c r="A2189" s="251"/>
      <c r="B2189" s="255"/>
      <c r="C2189" s="255"/>
      <c r="D2189" s="255"/>
      <c r="E2189" s="255"/>
      <c r="F2189" s="254"/>
      <c r="G2189" s="254"/>
      <c r="H2189" s="254"/>
      <c r="I2189" s="228"/>
      <c r="J2189" s="228"/>
      <c r="K2189" s="228"/>
      <c r="L2189"/>
      <c r="M2189"/>
    </row>
    <row r="2190" spans="1:13" s="125" customFormat="1" x14ac:dyDescent="0.25">
      <c r="A2190" s="251"/>
      <c r="B2190" s="255"/>
      <c r="C2190" s="255"/>
      <c r="D2190" s="255"/>
      <c r="E2190" s="255"/>
      <c r="F2190" s="254"/>
      <c r="G2190" s="254"/>
      <c r="H2190" s="254"/>
      <c r="I2190" s="228"/>
      <c r="J2190" s="228"/>
      <c r="K2190" s="228"/>
      <c r="L2190"/>
      <c r="M2190"/>
    </row>
    <row r="2191" spans="1:13" s="125" customFormat="1" x14ac:dyDescent="0.25">
      <c r="A2191" s="251"/>
      <c r="B2191" s="255"/>
      <c r="C2191" s="255"/>
      <c r="D2191" s="255"/>
      <c r="E2191" s="255"/>
      <c r="F2191" s="254"/>
      <c r="G2191" s="254"/>
      <c r="H2191" s="254"/>
      <c r="I2191" s="228"/>
      <c r="J2191" s="228"/>
      <c r="K2191" s="228"/>
      <c r="L2191"/>
      <c r="M2191"/>
    </row>
    <row r="2192" spans="1:13" s="125" customFormat="1" x14ac:dyDescent="0.25">
      <c r="A2192" s="251"/>
      <c r="B2192" s="255"/>
      <c r="C2192" s="255"/>
      <c r="D2192" s="255"/>
      <c r="E2192" s="255"/>
      <c r="F2192" s="254"/>
      <c r="G2192" s="254"/>
      <c r="H2192" s="254"/>
      <c r="I2192" s="228"/>
      <c r="J2192" s="228"/>
      <c r="K2192" s="228"/>
      <c r="L2192"/>
      <c r="M2192"/>
    </row>
    <row r="2193" spans="1:13" s="125" customFormat="1" x14ac:dyDescent="0.25">
      <c r="A2193" s="251"/>
      <c r="B2193" s="255"/>
      <c r="C2193" s="255"/>
      <c r="D2193" s="255"/>
      <c r="E2193" s="255"/>
      <c r="F2193" s="254"/>
      <c r="G2193" s="254"/>
      <c r="H2193" s="254"/>
      <c r="I2193" s="228"/>
      <c r="J2193" s="228"/>
      <c r="K2193" s="228"/>
      <c r="L2193"/>
      <c r="M2193"/>
    </row>
    <row r="2194" spans="1:13" s="125" customFormat="1" x14ac:dyDescent="0.25">
      <c r="A2194" s="251"/>
      <c r="B2194" s="255"/>
      <c r="C2194" s="255"/>
      <c r="D2194" s="255"/>
      <c r="E2194" s="255"/>
      <c r="F2194" s="254"/>
      <c r="G2194" s="254"/>
      <c r="H2194" s="254"/>
      <c r="I2194" s="228"/>
      <c r="J2194" s="228"/>
      <c r="K2194" s="228"/>
      <c r="L2194"/>
      <c r="M2194"/>
    </row>
    <row r="2195" spans="1:13" s="125" customFormat="1" x14ac:dyDescent="0.25">
      <c r="A2195" s="251"/>
      <c r="B2195" s="255"/>
      <c r="C2195" s="255"/>
      <c r="D2195" s="255"/>
      <c r="E2195" s="255"/>
      <c r="F2195" s="254"/>
      <c r="G2195" s="254"/>
      <c r="H2195" s="254"/>
      <c r="I2195" s="228"/>
      <c r="J2195" s="228"/>
      <c r="K2195" s="228"/>
      <c r="L2195"/>
      <c r="M2195"/>
    </row>
    <row r="2196" spans="1:13" s="125" customFormat="1" x14ac:dyDescent="0.25">
      <c r="A2196" s="251"/>
      <c r="B2196" s="255"/>
      <c r="C2196" s="255"/>
      <c r="D2196" s="255"/>
      <c r="E2196" s="255"/>
      <c r="F2196" s="254"/>
      <c r="G2196" s="254"/>
      <c r="H2196" s="254"/>
      <c r="I2196" s="228"/>
      <c r="J2196" s="228"/>
      <c r="K2196" s="228"/>
      <c r="L2196"/>
      <c r="M2196"/>
    </row>
    <row r="2197" spans="1:13" s="125" customFormat="1" x14ac:dyDescent="0.25">
      <c r="A2197" s="251"/>
      <c r="B2197" s="255"/>
      <c r="C2197" s="255"/>
      <c r="D2197" s="255"/>
      <c r="E2197" s="255"/>
      <c r="F2197" s="254"/>
      <c r="G2197" s="254"/>
      <c r="H2197" s="254"/>
      <c r="I2197" s="228"/>
      <c r="J2197" s="228"/>
      <c r="K2197" s="228"/>
      <c r="L2197"/>
      <c r="M2197"/>
    </row>
    <row r="2198" spans="1:13" s="125" customFormat="1" x14ac:dyDescent="0.25">
      <c r="A2198" s="251"/>
      <c r="B2198" s="255"/>
      <c r="C2198" s="255"/>
      <c r="D2198" s="255"/>
      <c r="E2198" s="255"/>
      <c r="F2198" s="254"/>
      <c r="G2198" s="254"/>
      <c r="H2198" s="254"/>
      <c r="I2198" s="228"/>
      <c r="J2198" s="228"/>
      <c r="K2198" s="228"/>
      <c r="L2198"/>
      <c r="M2198"/>
    </row>
    <row r="2199" spans="1:13" s="125" customFormat="1" x14ac:dyDescent="0.25">
      <c r="A2199" s="251"/>
      <c r="B2199" s="255"/>
      <c r="C2199" s="255"/>
      <c r="D2199" s="255"/>
      <c r="E2199" s="255"/>
      <c r="F2199" s="254"/>
      <c r="G2199" s="254"/>
      <c r="H2199" s="254"/>
      <c r="I2199" s="228"/>
      <c r="J2199" s="228"/>
      <c r="K2199" s="228"/>
      <c r="L2199"/>
      <c r="M2199"/>
    </row>
    <row r="2200" spans="1:13" s="125" customFormat="1" x14ac:dyDescent="0.25">
      <c r="A2200" s="251"/>
      <c r="B2200" s="255"/>
      <c r="C2200" s="255"/>
      <c r="D2200" s="255"/>
      <c r="E2200" s="255"/>
      <c r="F2200" s="254"/>
      <c r="G2200" s="254"/>
      <c r="H2200" s="254"/>
      <c r="I2200" s="228"/>
      <c r="J2200" s="228"/>
      <c r="K2200" s="228"/>
      <c r="L2200"/>
      <c r="M2200"/>
    </row>
    <row r="2201" spans="1:13" s="125" customFormat="1" x14ac:dyDescent="0.25">
      <c r="A2201" s="251"/>
      <c r="B2201" s="255"/>
      <c r="C2201" s="255"/>
      <c r="D2201" s="255"/>
      <c r="E2201" s="255"/>
      <c r="F2201" s="254"/>
      <c r="G2201" s="254"/>
      <c r="H2201" s="254"/>
      <c r="I2201" s="228"/>
      <c r="J2201" s="228"/>
      <c r="K2201" s="228"/>
      <c r="L2201"/>
      <c r="M2201"/>
    </row>
    <row r="2202" spans="1:13" s="125" customFormat="1" x14ac:dyDescent="0.25">
      <c r="A2202" s="251"/>
      <c r="B2202" s="255"/>
      <c r="C2202" s="255"/>
      <c r="D2202" s="255"/>
      <c r="E2202" s="255"/>
      <c r="F2202" s="254"/>
      <c r="G2202" s="254"/>
      <c r="H2202" s="254"/>
      <c r="I2202" s="228"/>
      <c r="J2202" s="228"/>
      <c r="K2202" s="228"/>
      <c r="L2202"/>
      <c r="M2202"/>
    </row>
    <row r="2203" spans="1:13" s="125" customFormat="1" x14ac:dyDescent="0.25">
      <c r="A2203" s="251"/>
      <c r="B2203" s="255"/>
      <c r="C2203" s="255"/>
      <c r="D2203" s="255"/>
      <c r="E2203" s="255"/>
      <c r="F2203" s="254"/>
      <c r="G2203" s="254"/>
      <c r="H2203" s="254"/>
      <c r="I2203" s="228"/>
      <c r="J2203" s="228"/>
      <c r="K2203" s="228"/>
      <c r="L2203"/>
      <c r="M2203"/>
    </row>
    <row r="2204" spans="1:13" s="125" customFormat="1" x14ac:dyDescent="0.25">
      <c r="A2204" s="251"/>
      <c r="B2204" s="255"/>
      <c r="C2204" s="255"/>
      <c r="D2204" s="255"/>
      <c r="E2204" s="255"/>
      <c r="F2204" s="254"/>
      <c r="G2204" s="254"/>
      <c r="H2204" s="254"/>
      <c r="I2204" s="228"/>
      <c r="J2204" s="228"/>
      <c r="K2204" s="228"/>
      <c r="L2204"/>
      <c r="M2204"/>
    </row>
    <row r="2205" spans="1:13" s="125" customFormat="1" x14ac:dyDescent="0.25">
      <c r="A2205" s="251"/>
      <c r="B2205" s="255"/>
      <c r="C2205" s="255"/>
      <c r="D2205" s="255"/>
      <c r="E2205" s="255"/>
      <c r="F2205" s="254"/>
      <c r="G2205" s="254"/>
      <c r="H2205" s="254"/>
      <c r="I2205" s="228"/>
      <c r="J2205" s="228"/>
      <c r="K2205" s="228"/>
      <c r="L2205"/>
      <c r="M2205"/>
    </row>
    <row r="2206" spans="1:13" s="125" customFormat="1" x14ac:dyDescent="0.25">
      <c r="A2206" s="251"/>
      <c r="B2206" s="255"/>
      <c r="C2206" s="255"/>
      <c r="D2206" s="255"/>
      <c r="E2206" s="255"/>
      <c r="F2206" s="254"/>
      <c r="G2206" s="254"/>
      <c r="H2206" s="254"/>
      <c r="I2206" s="228"/>
      <c r="J2206" s="228"/>
      <c r="K2206" s="228"/>
      <c r="L2206"/>
      <c r="M2206"/>
    </row>
    <row r="2207" spans="1:13" s="125" customFormat="1" x14ac:dyDescent="0.25">
      <c r="A2207" s="251"/>
      <c r="B2207" s="255"/>
      <c r="C2207" s="255"/>
      <c r="D2207" s="255"/>
      <c r="E2207" s="255"/>
      <c r="F2207" s="254"/>
      <c r="G2207" s="254"/>
      <c r="H2207" s="254"/>
      <c r="I2207" s="228"/>
      <c r="J2207" s="228"/>
      <c r="K2207" s="228"/>
      <c r="L2207"/>
      <c r="M2207"/>
    </row>
    <row r="2208" spans="1:13" s="125" customFormat="1" x14ac:dyDescent="0.25">
      <c r="A2208" s="251"/>
      <c r="B2208" s="255"/>
      <c r="C2208" s="255"/>
      <c r="D2208" s="255"/>
      <c r="E2208" s="255"/>
      <c r="F2208" s="254"/>
      <c r="G2208" s="254"/>
      <c r="H2208" s="254"/>
      <c r="I2208" s="228"/>
      <c r="J2208" s="228"/>
      <c r="K2208" s="228"/>
      <c r="L2208"/>
      <c r="M2208"/>
    </row>
    <row r="2209" spans="1:13" s="125" customFormat="1" x14ac:dyDescent="0.25">
      <c r="A2209" s="251"/>
      <c r="B2209" s="255"/>
      <c r="C2209" s="255"/>
      <c r="D2209" s="255"/>
      <c r="E2209" s="255"/>
      <c r="F2209" s="254"/>
      <c r="G2209" s="254"/>
      <c r="H2209" s="254"/>
      <c r="I2209" s="228"/>
      <c r="J2209" s="228"/>
      <c r="K2209" s="228"/>
      <c r="L2209"/>
      <c r="M2209"/>
    </row>
    <row r="2210" spans="1:13" s="125" customFormat="1" x14ac:dyDescent="0.25">
      <c r="A2210" s="251"/>
      <c r="B2210" s="255"/>
      <c r="C2210" s="255"/>
      <c r="D2210" s="255"/>
      <c r="E2210" s="255"/>
      <c r="F2210" s="254"/>
      <c r="G2210" s="254"/>
      <c r="H2210" s="254"/>
      <c r="I2210" s="228"/>
      <c r="J2210" s="228"/>
      <c r="K2210" s="228"/>
      <c r="L2210"/>
      <c r="M2210"/>
    </row>
    <row r="2211" spans="1:13" s="125" customFormat="1" x14ac:dyDescent="0.25">
      <c r="A2211" s="251"/>
      <c r="B2211" s="255"/>
      <c r="C2211" s="255"/>
      <c r="D2211" s="255"/>
      <c r="E2211" s="255"/>
      <c r="F2211" s="254"/>
      <c r="G2211" s="254"/>
      <c r="H2211" s="254"/>
      <c r="I2211" s="228"/>
      <c r="J2211" s="228"/>
      <c r="K2211" s="228"/>
      <c r="L2211"/>
      <c r="M2211"/>
    </row>
    <row r="2212" spans="1:13" s="125" customFormat="1" x14ac:dyDescent="0.25">
      <c r="A2212" s="251"/>
      <c r="B2212" s="255"/>
      <c r="C2212" s="255"/>
      <c r="D2212" s="255"/>
      <c r="E2212" s="255"/>
      <c r="F2212" s="254"/>
      <c r="G2212" s="254"/>
      <c r="H2212" s="254"/>
      <c r="I2212" s="228"/>
      <c r="J2212" s="228"/>
      <c r="K2212" s="228"/>
      <c r="L2212"/>
      <c r="M2212"/>
    </row>
    <row r="2213" spans="1:13" s="125" customFormat="1" x14ac:dyDescent="0.25">
      <c r="A2213" s="251"/>
      <c r="B2213" s="255"/>
      <c r="C2213" s="255"/>
      <c r="D2213" s="255"/>
      <c r="E2213" s="255"/>
      <c r="F2213" s="254"/>
      <c r="G2213" s="254"/>
      <c r="H2213" s="254"/>
      <c r="I2213" s="228"/>
      <c r="J2213" s="228"/>
      <c r="K2213" s="228"/>
      <c r="L2213"/>
      <c r="M2213"/>
    </row>
    <row r="2214" spans="1:13" s="125" customFormat="1" x14ac:dyDescent="0.25">
      <c r="A2214" s="251"/>
      <c r="B2214" s="255"/>
      <c r="C2214" s="255"/>
      <c r="D2214" s="255"/>
      <c r="E2214" s="255"/>
      <c r="F2214" s="254"/>
      <c r="G2214" s="254"/>
      <c r="H2214" s="254"/>
      <c r="I2214" s="228"/>
      <c r="J2214" s="228"/>
      <c r="K2214" s="228"/>
      <c r="L2214"/>
      <c r="M2214"/>
    </row>
    <row r="2215" spans="1:13" s="125" customFormat="1" x14ac:dyDescent="0.25">
      <c r="A2215" s="251"/>
      <c r="B2215" s="255"/>
      <c r="C2215" s="255"/>
      <c r="D2215" s="255"/>
      <c r="E2215" s="255"/>
      <c r="F2215" s="254"/>
      <c r="G2215" s="254"/>
      <c r="H2215" s="254"/>
      <c r="I2215" s="228"/>
      <c r="J2215" s="228"/>
      <c r="K2215" s="228"/>
      <c r="L2215"/>
      <c r="M2215"/>
    </row>
    <row r="2216" spans="1:13" s="125" customFormat="1" x14ac:dyDescent="0.25">
      <c r="A2216" s="251"/>
      <c r="B2216" s="255"/>
      <c r="C2216" s="255"/>
      <c r="D2216" s="255"/>
      <c r="E2216" s="255"/>
      <c r="F2216" s="254"/>
      <c r="G2216" s="254"/>
      <c r="H2216" s="254"/>
      <c r="I2216" s="228"/>
      <c r="J2216" s="228"/>
      <c r="K2216" s="228"/>
      <c r="L2216"/>
      <c r="M2216"/>
    </row>
    <row r="2217" spans="1:13" s="125" customFormat="1" x14ac:dyDescent="0.25">
      <c r="A2217" s="251"/>
      <c r="B2217" s="255"/>
      <c r="C2217" s="255"/>
      <c r="D2217" s="255"/>
      <c r="E2217" s="255"/>
      <c r="F2217" s="254"/>
      <c r="G2217" s="254"/>
      <c r="H2217" s="254"/>
      <c r="I2217" s="228"/>
      <c r="J2217" s="228"/>
      <c r="K2217" s="228"/>
      <c r="L2217"/>
      <c r="M2217"/>
    </row>
    <row r="2218" spans="1:13" s="125" customFormat="1" x14ac:dyDescent="0.25">
      <c r="A2218" s="251"/>
      <c r="B2218" s="255"/>
      <c r="C2218" s="255"/>
      <c r="D2218" s="255"/>
      <c r="E2218" s="255"/>
      <c r="F2218" s="254"/>
      <c r="G2218" s="254"/>
      <c r="H2218" s="254"/>
      <c r="I2218" s="228"/>
      <c r="J2218" s="228"/>
      <c r="K2218" s="228"/>
      <c r="L2218"/>
      <c r="M2218"/>
    </row>
    <row r="2219" spans="1:13" s="125" customFormat="1" x14ac:dyDescent="0.25">
      <c r="A2219" s="251"/>
      <c r="B2219" s="255"/>
      <c r="C2219" s="255"/>
      <c r="D2219" s="255"/>
      <c r="E2219" s="255"/>
      <c r="F2219" s="254"/>
      <c r="G2219" s="254"/>
      <c r="H2219" s="254"/>
      <c r="I2219" s="228"/>
      <c r="J2219" s="228"/>
      <c r="K2219" s="228"/>
      <c r="L2219"/>
      <c r="M2219"/>
    </row>
    <row r="2220" spans="1:13" s="125" customFormat="1" x14ac:dyDescent="0.25">
      <c r="A2220" s="251"/>
      <c r="B2220" s="255"/>
      <c r="C2220" s="255"/>
      <c r="D2220" s="255"/>
      <c r="E2220" s="255"/>
      <c r="F2220" s="254"/>
      <c r="G2220" s="254"/>
      <c r="H2220" s="254"/>
      <c r="I2220" s="228"/>
      <c r="J2220" s="228"/>
      <c r="K2220" s="228"/>
      <c r="L2220"/>
      <c r="M2220"/>
    </row>
    <row r="2221" spans="1:13" s="125" customFormat="1" x14ac:dyDescent="0.25">
      <c r="A2221" s="251"/>
      <c r="B2221" s="255"/>
      <c r="C2221" s="255"/>
      <c r="D2221" s="255"/>
      <c r="E2221" s="255"/>
      <c r="F2221" s="254"/>
      <c r="G2221" s="254"/>
      <c r="H2221" s="254"/>
      <c r="I2221" s="228"/>
      <c r="J2221" s="228"/>
      <c r="K2221" s="228"/>
      <c r="L2221"/>
      <c r="M2221"/>
    </row>
    <row r="2222" spans="1:13" s="125" customFormat="1" x14ac:dyDescent="0.25">
      <c r="A2222" s="251"/>
      <c r="B2222" s="255"/>
      <c r="C2222" s="255"/>
      <c r="D2222" s="255"/>
      <c r="E2222" s="255"/>
      <c r="F2222" s="254"/>
      <c r="G2222" s="254"/>
      <c r="H2222" s="254"/>
      <c r="I2222" s="228"/>
      <c r="J2222" s="228"/>
      <c r="K2222" s="228"/>
      <c r="L2222"/>
      <c r="M2222"/>
    </row>
    <row r="2223" spans="1:13" s="125" customFormat="1" x14ac:dyDescent="0.25">
      <c r="A2223" s="251"/>
      <c r="B2223" s="255"/>
      <c r="C2223" s="255"/>
      <c r="D2223" s="255"/>
      <c r="E2223" s="255"/>
      <c r="F2223" s="254"/>
      <c r="G2223" s="254"/>
      <c r="H2223" s="254"/>
      <c r="I2223" s="228"/>
      <c r="J2223" s="228"/>
      <c r="K2223" s="228"/>
      <c r="L2223"/>
      <c r="M2223"/>
    </row>
    <row r="2224" spans="1:13" s="125" customFormat="1" x14ac:dyDescent="0.25">
      <c r="A2224" s="251"/>
      <c r="B2224" s="255"/>
      <c r="C2224" s="255"/>
      <c r="D2224" s="255"/>
      <c r="E2224" s="255"/>
      <c r="F2224" s="254"/>
      <c r="G2224" s="254"/>
      <c r="H2224" s="254"/>
      <c r="I2224" s="228"/>
      <c r="J2224" s="228"/>
      <c r="K2224" s="228"/>
      <c r="L2224"/>
      <c r="M2224"/>
    </row>
    <row r="2225" spans="1:13" s="125" customFormat="1" x14ac:dyDescent="0.25">
      <c r="A2225" s="251"/>
      <c r="B2225" s="255"/>
      <c r="C2225" s="255"/>
      <c r="D2225" s="255"/>
      <c r="E2225" s="255"/>
      <c r="F2225" s="254"/>
      <c r="G2225" s="254"/>
      <c r="H2225" s="254"/>
      <c r="I2225" s="228"/>
      <c r="J2225" s="228"/>
      <c r="K2225" s="228"/>
      <c r="L2225"/>
      <c r="M2225"/>
    </row>
    <row r="2226" spans="1:13" s="125" customFormat="1" x14ac:dyDescent="0.25">
      <c r="A2226" s="251"/>
      <c r="B2226" s="255"/>
      <c r="C2226" s="255"/>
      <c r="D2226" s="255"/>
      <c r="E2226" s="255"/>
      <c r="F2226" s="254"/>
      <c r="G2226" s="254"/>
      <c r="H2226" s="254"/>
      <c r="I2226" s="228"/>
      <c r="J2226" s="228"/>
      <c r="K2226" s="228"/>
      <c r="L2226"/>
      <c r="M2226"/>
    </row>
    <row r="2227" spans="1:13" s="125" customFormat="1" x14ac:dyDescent="0.25">
      <c r="A2227" s="251"/>
      <c r="B2227" s="255"/>
      <c r="C2227" s="255"/>
      <c r="D2227" s="255"/>
      <c r="E2227" s="255"/>
      <c r="F2227" s="254"/>
      <c r="G2227" s="254"/>
      <c r="H2227" s="254"/>
      <c r="I2227" s="228"/>
      <c r="J2227" s="228"/>
      <c r="K2227" s="228"/>
      <c r="L2227"/>
      <c r="M2227"/>
    </row>
    <row r="2228" spans="1:13" s="125" customFormat="1" x14ac:dyDescent="0.25">
      <c r="A2228" s="251"/>
      <c r="B2228" s="255"/>
      <c r="C2228" s="255"/>
      <c r="D2228" s="255"/>
      <c r="E2228" s="255"/>
      <c r="F2228" s="254"/>
      <c r="G2228" s="254"/>
      <c r="H2228" s="254"/>
      <c r="I2228" s="228"/>
      <c r="J2228" s="228"/>
      <c r="K2228" s="228"/>
      <c r="L2228"/>
      <c r="M2228"/>
    </row>
    <row r="2229" spans="1:13" s="125" customFormat="1" x14ac:dyDescent="0.25">
      <c r="A2229" s="251"/>
      <c r="B2229" s="255"/>
      <c r="C2229" s="255"/>
      <c r="D2229" s="255"/>
      <c r="E2229" s="255"/>
      <c r="F2229" s="254"/>
      <c r="G2229" s="254"/>
      <c r="H2229" s="254"/>
      <c r="I2229" s="228"/>
      <c r="J2229" s="228"/>
      <c r="K2229" s="228"/>
      <c r="L2229"/>
      <c r="M2229"/>
    </row>
    <row r="2230" spans="1:13" s="125" customFormat="1" x14ac:dyDescent="0.25">
      <c r="A2230" s="251"/>
      <c r="B2230" s="255"/>
      <c r="C2230" s="255"/>
      <c r="D2230" s="255"/>
      <c r="E2230" s="255"/>
      <c r="F2230" s="254"/>
      <c r="G2230" s="254"/>
      <c r="H2230" s="254"/>
      <c r="I2230" s="228"/>
      <c r="J2230" s="228"/>
      <c r="K2230" s="228"/>
      <c r="L2230"/>
      <c r="M2230"/>
    </row>
    <row r="2231" spans="1:13" s="125" customFormat="1" x14ac:dyDescent="0.25">
      <c r="A2231" s="251"/>
      <c r="B2231" s="255"/>
      <c r="C2231" s="255"/>
      <c r="D2231" s="255"/>
      <c r="E2231" s="255"/>
      <c r="F2231" s="254"/>
      <c r="G2231" s="254"/>
      <c r="H2231" s="254"/>
      <c r="I2231" s="228"/>
      <c r="J2231" s="228"/>
      <c r="K2231" s="228"/>
      <c r="L2231"/>
      <c r="M2231"/>
    </row>
    <row r="2232" spans="1:13" s="125" customFormat="1" x14ac:dyDescent="0.25">
      <c r="A2232" s="251"/>
      <c r="B2232" s="255"/>
      <c r="C2232" s="255"/>
      <c r="D2232" s="255"/>
      <c r="E2232" s="255"/>
      <c r="F2232" s="254"/>
      <c r="G2232" s="254"/>
      <c r="H2232" s="254"/>
      <c r="I2232" s="228"/>
      <c r="J2232" s="228"/>
      <c r="K2232" s="228"/>
      <c r="L2232"/>
      <c r="M2232"/>
    </row>
    <row r="2233" spans="1:13" s="125" customFormat="1" x14ac:dyDescent="0.25">
      <c r="A2233" s="251"/>
      <c r="B2233" s="255"/>
      <c r="C2233" s="255"/>
      <c r="D2233" s="255"/>
      <c r="E2233" s="255"/>
      <c r="F2233" s="254"/>
      <c r="G2233" s="254"/>
      <c r="H2233" s="254"/>
      <c r="I2233" s="228"/>
      <c r="J2233" s="228"/>
      <c r="K2233" s="228"/>
      <c r="L2233"/>
      <c r="M2233"/>
    </row>
    <row r="2234" spans="1:13" s="125" customFormat="1" x14ac:dyDescent="0.25">
      <c r="A2234" s="251"/>
      <c r="B2234" s="255"/>
      <c r="C2234" s="255"/>
      <c r="D2234" s="255"/>
      <c r="E2234" s="255"/>
      <c r="F2234" s="254"/>
      <c r="G2234" s="254"/>
      <c r="H2234" s="254"/>
      <c r="I2234" s="228"/>
      <c r="J2234" s="228"/>
      <c r="K2234" s="228"/>
      <c r="L2234"/>
      <c r="M2234"/>
    </row>
    <row r="2235" spans="1:13" s="125" customFormat="1" x14ac:dyDescent="0.25">
      <c r="A2235" s="251"/>
      <c r="B2235" s="255"/>
      <c r="C2235" s="255"/>
      <c r="D2235" s="255"/>
      <c r="E2235" s="255"/>
      <c r="F2235" s="254"/>
      <c r="G2235" s="254"/>
      <c r="H2235" s="254"/>
      <c r="I2235" s="228"/>
      <c r="J2235" s="228"/>
      <c r="K2235" s="228"/>
      <c r="L2235"/>
      <c r="M2235"/>
    </row>
    <row r="2236" spans="1:13" s="125" customFormat="1" x14ac:dyDescent="0.25">
      <c r="A2236" s="251"/>
      <c r="B2236" s="255"/>
      <c r="C2236" s="255"/>
      <c r="D2236" s="255"/>
      <c r="E2236" s="255"/>
      <c r="F2236" s="254"/>
      <c r="G2236" s="254"/>
      <c r="H2236" s="254"/>
      <c r="I2236" s="228"/>
      <c r="J2236" s="228"/>
      <c r="K2236" s="228"/>
      <c r="L2236"/>
      <c r="M2236"/>
    </row>
    <row r="2237" spans="1:13" s="125" customFormat="1" x14ac:dyDescent="0.25">
      <c r="A2237" s="251"/>
      <c r="B2237" s="255"/>
      <c r="C2237" s="255"/>
      <c r="D2237" s="255"/>
      <c r="E2237" s="255"/>
      <c r="F2237" s="254"/>
      <c r="G2237" s="254"/>
      <c r="H2237" s="254"/>
      <c r="I2237" s="228"/>
      <c r="J2237" s="228"/>
      <c r="K2237" s="228"/>
      <c r="L2237"/>
      <c r="M2237"/>
    </row>
    <row r="2238" spans="1:13" s="125" customFormat="1" x14ac:dyDescent="0.25">
      <c r="A2238" s="251"/>
      <c r="B2238" s="255"/>
      <c r="C2238" s="255"/>
      <c r="D2238" s="255"/>
      <c r="E2238" s="255"/>
      <c r="F2238" s="254"/>
      <c r="G2238" s="254"/>
      <c r="H2238" s="254"/>
      <c r="I2238" s="228"/>
      <c r="J2238" s="228"/>
      <c r="K2238" s="228"/>
      <c r="L2238"/>
      <c r="M2238"/>
    </row>
    <row r="2239" spans="1:13" s="125" customFormat="1" x14ac:dyDescent="0.25">
      <c r="A2239" s="251"/>
      <c r="B2239" s="255"/>
      <c r="C2239" s="255"/>
      <c r="D2239" s="255"/>
      <c r="E2239" s="255"/>
      <c r="F2239" s="254"/>
      <c r="G2239" s="254"/>
      <c r="H2239" s="254"/>
      <c r="I2239" s="228"/>
      <c r="J2239" s="228"/>
      <c r="K2239" s="228"/>
      <c r="L2239"/>
      <c r="M2239"/>
    </row>
    <row r="2240" spans="1:13" s="125" customFormat="1" x14ac:dyDescent="0.25">
      <c r="A2240" s="251"/>
      <c r="B2240" s="255"/>
      <c r="C2240" s="255"/>
      <c r="D2240" s="255"/>
      <c r="E2240" s="255"/>
      <c r="F2240" s="254"/>
      <c r="G2240" s="254"/>
      <c r="H2240" s="254"/>
      <c r="I2240" s="228"/>
      <c r="J2240" s="228"/>
      <c r="K2240" s="228"/>
      <c r="L2240"/>
      <c r="M2240"/>
    </row>
    <row r="2241" spans="1:13" s="125" customFormat="1" x14ac:dyDescent="0.25">
      <c r="A2241" s="251"/>
      <c r="B2241" s="255"/>
      <c r="C2241" s="255"/>
      <c r="D2241" s="255"/>
      <c r="E2241" s="255"/>
      <c r="F2241" s="254"/>
      <c r="G2241" s="254"/>
      <c r="H2241" s="254"/>
      <c r="I2241" s="228"/>
      <c r="J2241" s="228"/>
      <c r="K2241" s="228"/>
      <c r="L2241"/>
      <c r="M2241"/>
    </row>
    <row r="2242" spans="1:13" s="125" customFormat="1" x14ac:dyDescent="0.25">
      <c r="A2242" s="251"/>
      <c r="B2242" s="255"/>
      <c r="C2242" s="255"/>
      <c r="D2242" s="255"/>
      <c r="E2242" s="255"/>
      <c r="F2242" s="254"/>
      <c r="G2242" s="254"/>
      <c r="H2242" s="254"/>
      <c r="I2242" s="228"/>
      <c r="J2242" s="228"/>
      <c r="K2242" s="228"/>
      <c r="L2242"/>
      <c r="M2242"/>
    </row>
    <row r="2243" spans="1:13" s="125" customFormat="1" x14ac:dyDescent="0.25">
      <c r="A2243" s="251"/>
      <c r="B2243" s="255"/>
      <c r="C2243" s="255"/>
      <c r="D2243" s="255"/>
      <c r="E2243" s="255"/>
      <c r="F2243" s="254"/>
      <c r="G2243" s="254"/>
      <c r="H2243" s="254"/>
      <c r="I2243" s="228"/>
      <c r="J2243" s="228"/>
      <c r="K2243" s="228"/>
      <c r="L2243"/>
      <c r="M2243"/>
    </row>
    <row r="2244" spans="1:13" s="125" customFormat="1" x14ac:dyDescent="0.25">
      <c r="A2244" s="251"/>
      <c r="B2244" s="255"/>
      <c r="C2244" s="255"/>
      <c r="D2244" s="255"/>
      <c r="E2244" s="255"/>
      <c r="F2244" s="254"/>
      <c r="G2244" s="254"/>
      <c r="H2244" s="254"/>
      <c r="I2244" s="228"/>
      <c r="J2244" s="228"/>
      <c r="K2244" s="228"/>
      <c r="L2244"/>
      <c r="M2244"/>
    </row>
    <row r="2245" spans="1:13" s="125" customFormat="1" x14ac:dyDescent="0.25">
      <c r="A2245" s="251"/>
      <c r="B2245" s="255"/>
      <c r="C2245" s="255"/>
      <c r="D2245" s="255"/>
      <c r="E2245" s="255"/>
      <c r="F2245" s="254"/>
      <c r="G2245" s="254"/>
      <c r="H2245" s="254"/>
      <c r="I2245" s="228"/>
      <c r="J2245" s="228"/>
      <c r="K2245" s="228"/>
      <c r="L2245"/>
      <c r="M2245"/>
    </row>
    <row r="2246" spans="1:13" s="125" customFormat="1" x14ac:dyDescent="0.25">
      <c r="A2246" s="251"/>
      <c r="B2246" s="255"/>
      <c r="C2246" s="255"/>
      <c r="D2246" s="255"/>
      <c r="E2246" s="255"/>
      <c r="F2246" s="254"/>
      <c r="G2246" s="254"/>
      <c r="H2246" s="254"/>
      <c r="I2246" s="228"/>
      <c r="J2246" s="228"/>
      <c r="K2246" s="228"/>
      <c r="L2246"/>
      <c r="M2246"/>
    </row>
    <row r="2247" spans="1:13" s="125" customFormat="1" x14ac:dyDescent="0.25">
      <c r="A2247" s="251"/>
      <c r="B2247" s="255"/>
      <c r="C2247" s="255"/>
      <c r="D2247" s="255"/>
      <c r="E2247" s="255"/>
      <c r="F2247" s="254"/>
      <c r="G2247" s="254"/>
      <c r="H2247" s="254"/>
      <c r="I2247" s="228"/>
      <c r="J2247" s="228"/>
      <c r="K2247" s="228"/>
      <c r="L2247"/>
      <c r="M2247"/>
    </row>
    <row r="2248" spans="1:13" s="125" customFormat="1" x14ac:dyDescent="0.25">
      <c r="A2248" s="251"/>
      <c r="B2248" s="255"/>
      <c r="C2248" s="255"/>
      <c r="D2248" s="255"/>
      <c r="E2248" s="255"/>
      <c r="F2248" s="254"/>
      <c r="G2248" s="254"/>
      <c r="H2248" s="254"/>
      <c r="I2248" s="228"/>
      <c r="J2248" s="228"/>
      <c r="K2248" s="228"/>
      <c r="L2248"/>
      <c r="M2248"/>
    </row>
    <row r="2249" spans="1:13" s="125" customFormat="1" x14ac:dyDescent="0.25">
      <c r="A2249" s="251"/>
      <c r="B2249" s="255"/>
      <c r="C2249" s="255"/>
      <c r="D2249" s="255"/>
      <c r="E2249" s="255"/>
      <c r="F2249" s="254"/>
      <c r="G2249" s="254"/>
      <c r="H2249" s="254"/>
      <c r="I2249" s="228"/>
      <c r="J2249" s="228"/>
      <c r="K2249" s="228"/>
      <c r="L2249"/>
      <c r="M2249"/>
    </row>
    <row r="2250" spans="1:13" s="125" customFormat="1" x14ac:dyDescent="0.25">
      <c r="A2250" s="251"/>
      <c r="B2250" s="255"/>
      <c r="C2250" s="255"/>
      <c r="D2250" s="255"/>
      <c r="E2250" s="255"/>
      <c r="F2250" s="254"/>
      <c r="G2250" s="254"/>
      <c r="H2250" s="254"/>
      <c r="I2250" s="228"/>
      <c r="J2250" s="228"/>
      <c r="K2250" s="228"/>
      <c r="L2250"/>
      <c r="M2250"/>
    </row>
    <row r="2251" spans="1:13" s="125" customFormat="1" x14ac:dyDescent="0.25">
      <c r="A2251" s="251"/>
      <c r="B2251" s="255"/>
      <c r="C2251" s="255"/>
      <c r="D2251" s="255"/>
      <c r="E2251" s="255"/>
      <c r="F2251" s="254"/>
      <c r="G2251" s="254"/>
      <c r="H2251" s="254"/>
      <c r="I2251" s="228"/>
      <c r="J2251" s="228"/>
      <c r="K2251" s="228"/>
      <c r="L2251"/>
      <c r="M2251"/>
    </row>
    <row r="2252" spans="1:13" s="125" customFormat="1" x14ac:dyDescent="0.25">
      <c r="A2252" s="251"/>
      <c r="B2252" s="255"/>
      <c r="C2252" s="255"/>
      <c r="D2252" s="255"/>
      <c r="E2252" s="255"/>
      <c r="F2252" s="254"/>
      <c r="G2252" s="254"/>
      <c r="H2252" s="254"/>
      <c r="I2252" s="228"/>
      <c r="J2252" s="228"/>
      <c r="K2252" s="228"/>
      <c r="L2252"/>
      <c r="M2252"/>
    </row>
    <row r="2253" spans="1:13" s="125" customFormat="1" x14ac:dyDescent="0.25">
      <c r="A2253" s="251"/>
      <c r="B2253" s="255"/>
      <c r="C2253" s="255"/>
      <c r="D2253" s="255"/>
      <c r="E2253" s="255"/>
      <c r="F2253" s="254"/>
      <c r="G2253" s="254"/>
      <c r="H2253" s="254"/>
      <c r="I2253" s="228"/>
      <c r="J2253" s="228"/>
      <c r="K2253" s="228"/>
      <c r="L2253"/>
      <c r="M2253"/>
    </row>
    <row r="2254" spans="1:13" s="125" customFormat="1" x14ac:dyDescent="0.25">
      <c r="A2254" s="251"/>
      <c r="B2254" s="255"/>
      <c r="C2254" s="255"/>
      <c r="D2254" s="255"/>
      <c r="E2254" s="255"/>
      <c r="F2254" s="254"/>
      <c r="G2254" s="254"/>
      <c r="H2254" s="254"/>
      <c r="I2254" s="228"/>
      <c r="J2254" s="228"/>
      <c r="K2254" s="228"/>
      <c r="L2254"/>
      <c r="M2254"/>
    </row>
    <row r="2255" spans="1:13" s="125" customFormat="1" x14ac:dyDescent="0.25">
      <c r="A2255" s="251"/>
      <c r="B2255" s="255"/>
      <c r="C2255" s="255"/>
      <c r="D2255" s="255"/>
      <c r="E2255" s="255"/>
      <c r="F2255" s="254"/>
      <c r="G2255" s="254"/>
      <c r="H2255" s="254"/>
      <c r="I2255" s="228"/>
      <c r="J2255" s="228"/>
      <c r="K2255" s="228"/>
      <c r="L2255"/>
      <c r="M2255"/>
    </row>
    <row r="2256" spans="1:13" s="125" customFormat="1" x14ac:dyDescent="0.25">
      <c r="A2256" s="251"/>
      <c r="B2256" s="255"/>
      <c r="C2256" s="255"/>
      <c r="D2256" s="255"/>
      <c r="E2256" s="255"/>
      <c r="F2256" s="254"/>
      <c r="G2256" s="254"/>
      <c r="H2256" s="254"/>
      <c r="I2256" s="228"/>
      <c r="J2256" s="228"/>
      <c r="K2256" s="228"/>
      <c r="L2256"/>
      <c r="M2256"/>
    </row>
    <row r="2257" spans="1:13" s="125" customFormat="1" x14ac:dyDescent="0.25">
      <c r="A2257" s="251"/>
      <c r="B2257" s="256"/>
      <c r="C2257" s="256"/>
      <c r="D2257" s="256"/>
      <c r="E2257" s="256"/>
      <c r="F2257" s="254"/>
      <c r="G2257" s="254"/>
      <c r="H2257" s="254"/>
      <c r="I2257" s="228"/>
      <c r="J2257" s="228"/>
      <c r="K2257" s="228"/>
      <c r="L2257"/>
      <c r="M2257"/>
    </row>
    <row r="2258" spans="1:13" s="125" customFormat="1" x14ac:dyDescent="0.25">
      <c r="A2258" s="251"/>
      <c r="B2258" s="256"/>
      <c r="C2258" s="256"/>
      <c r="D2258" s="256"/>
      <c r="E2258" s="256"/>
      <c r="F2258" s="254"/>
      <c r="G2258" s="254"/>
      <c r="H2258" s="254"/>
      <c r="I2258" s="228"/>
      <c r="J2258" s="228"/>
      <c r="K2258" s="228"/>
      <c r="L2258"/>
      <c r="M2258"/>
    </row>
    <row r="2259" spans="1:13" s="125" customFormat="1" x14ac:dyDescent="0.25">
      <c r="A2259" s="251"/>
      <c r="B2259" s="256"/>
      <c r="C2259" s="256"/>
      <c r="D2259" s="256"/>
      <c r="E2259" s="256"/>
      <c r="F2259" s="254"/>
      <c r="G2259" s="254"/>
      <c r="H2259" s="254"/>
      <c r="I2259" s="228"/>
      <c r="J2259" s="228"/>
      <c r="K2259" s="228"/>
      <c r="L2259"/>
      <c r="M2259"/>
    </row>
    <row r="2260" spans="1:13" s="125" customFormat="1" x14ac:dyDescent="0.25">
      <c r="A2260" s="251"/>
      <c r="B2260" s="256"/>
      <c r="C2260" s="256"/>
      <c r="D2260" s="256"/>
      <c r="E2260" s="256"/>
      <c r="F2260" s="254"/>
      <c r="G2260" s="254"/>
      <c r="H2260" s="254"/>
      <c r="I2260" s="228"/>
      <c r="J2260" s="228"/>
      <c r="K2260" s="228"/>
      <c r="L2260"/>
      <c r="M2260"/>
    </row>
    <row r="2261" spans="1:13" s="125" customFormat="1" x14ac:dyDescent="0.25">
      <c r="A2261" s="251"/>
      <c r="B2261" s="256"/>
      <c r="C2261" s="256"/>
      <c r="D2261" s="256"/>
      <c r="E2261" s="256"/>
      <c r="F2261" s="254"/>
      <c r="G2261" s="254"/>
      <c r="H2261" s="254"/>
      <c r="I2261" s="228"/>
      <c r="J2261" s="228"/>
      <c r="K2261" s="228"/>
      <c r="L2261"/>
      <c r="M2261"/>
    </row>
    <row r="2262" spans="1:13" s="125" customFormat="1" x14ac:dyDescent="0.25">
      <c r="A2262" s="251"/>
      <c r="B2262" s="256"/>
      <c r="C2262" s="256"/>
      <c r="D2262" s="256"/>
      <c r="E2262" s="256"/>
      <c r="F2262" s="254"/>
      <c r="G2262" s="254"/>
      <c r="H2262" s="254"/>
      <c r="I2262" s="228"/>
      <c r="J2262" s="228"/>
      <c r="K2262" s="228"/>
      <c r="L2262"/>
      <c r="M2262"/>
    </row>
    <row r="2263" spans="1:13" s="125" customFormat="1" x14ac:dyDescent="0.25">
      <c r="A2263" s="251"/>
      <c r="B2263" s="256"/>
      <c r="C2263" s="256"/>
      <c r="D2263" s="256"/>
      <c r="E2263" s="256"/>
      <c r="F2263" s="254"/>
      <c r="G2263" s="254"/>
      <c r="H2263" s="254"/>
      <c r="I2263" s="228"/>
      <c r="J2263" s="228"/>
      <c r="K2263" s="228"/>
      <c r="L2263"/>
      <c r="M2263"/>
    </row>
    <row r="2264" spans="1:13" s="125" customFormat="1" x14ac:dyDescent="0.25">
      <c r="A2264" s="251"/>
      <c r="B2264" s="256"/>
      <c r="C2264" s="256"/>
      <c r="D2264" s="256"/>
      <c r="E2264" s="256"/>
      <c r="F2264" s="254"/>
      <c r="G2264" s="254"/>
      <c r="H2264" s="254"/>
      <c r="I2264" s="228"/>
      <c r="J2264" s="228"/>
      <c r="K2264" s="228"/>
      <c r="L2264"/>
      <c r="M2264"/>
    </row>
    <row r="2265" spans="1:13" s="125" customFormat="1" x14ac:dyDescent="0.25">
      <c r="A2265" s="251"/>
      <c r="B2265" s="256"/>
      <c r="C2265" s="256"/>
      <c r="D2265" s="256"/>
      <c r="E2265" s="256"/>
      <c r="F2265" s="254"/>
      <c r="G2265" s="254"/>
      <c r="H2265" s="254"/>
      <c r="I2265" s="228"/>
      <c r="J2265" s="228"/>
      <c r="K2265" s="228"/>
      <c r="L2265"/>
      <c r="M2265"/>
    </row>
    <row r="2266" spans="1:13" s="125" customFormat="1" x14ac:dyDescent="0.25">
      <c r="A2266" s="251"/>
      <c r="B2266" s="256"/>
      <c r="C2266" s="256"/>
      <c r="D2266" s="256"/>
      <c r="E2266" s="256"/>
      <c r="F2266" s="254"/>
      <c r="G2266" s="254"/>
      <c r="H2266" s="254"/>
      <c r="I2266" s="228"/>
      <c r="J2266" s="228"/>
      <c r="K2266" s="228"/>
      <c r="L2266"/>
      <c r="M2266"/>
    </row>
    <row r="2267" spans="1:13" s="125" customFormat="1" x14ac:dyDescent="0.25">
      <c r="A2267" s="251"/>
      <c r="B2267" s="256"/>
      <c r="C2267" s="256"/>
      <c r="D2267" s="256"/>
      <c r="E2267" s="256"/>
      <c r="F2267" s="254"/>
      <c r="G2267" s="254"/>
      <c r="H2267" s="254"/>
      <c r="I2267" s="228"/>
      <c r="J2267" s="228"/>
      <c r="K2267" s="228"/>
      <c r="L2267"/>
      <c r="M2267"/>
    </row>
    <row r="2268" spans="1:13" s="125" customFormat="1" x14ac:dyDescent="0.25">
      <c r="A2268" s="251"/>
      <c r="B2268" s="256"/>
      <c r="C2268" s="256"/>
      <c r="D2268" s="256"/>
      <c r="E2268" s="256"/>
      <c r="F2268" s="254"/>
      <c r="G2268" s="254"/>
      <c r="H2268" s="254"/>
      <c r="I2268" s="228"/>
      <c r="J2268" s="228"/>
      <c r="K2268" s="228"/>
      <c r="L2268"/>
      <c r="M2268"/>
    </row>
    <row r="2269" spans="1:13" s="125" customFormat="1" x14ac:dyDescent="0.25">
      <c r="A2269" s="251"/>
      <c r="B2269" s="256"/>
      <c r="C2269" s="256"/>
      <c r="D2269" s="256"/>
      <c r="E2269" s="256"/>
      <c r="F2269" s="254"/>
      <c r="G2269" s="254"/>
      <c r="H2269" s="254"/>
      <c r="I2269" s="228"/>
      <c r="J2269" s="228"/>
      <c r="K2269" s="228"/>
      <c r="L2269"/>
      <c r="M2269"/>
    </row>
    <row r="2270" spans="1:13" s="125" customFormat="1" x14ac:dyDescent="0.25">
      <c r="A2270" s="251"/>
      <c r="B2270" s="256"/>
      <c r="C2270" s="256"/>
      <c r="D2270" s="256"/>
      <c r="E2270" s="256"/>
      <c r="F2270" s="254"/>
      <c r="G2270" s="254"/>
      <c r="H2270" s="254"/>
      <c r="I2270" s="228"/>
      <c r="J2270" s="228"/>
      <c r="K2270" s="228"/>
      <c r="L2270"/>
      <c r="M2270"/>
    </row>
    <row r="2271" spans="1:13" s="125" customFormat="1" x14ac:dyDescent="0.25">
      <c r="A2271" s="251"/>
      <c r="B2271" s="256"/>
      <c r="C2271" s="256"/>
      <c r="D2271" s="256"/>
      <c r="E2271" s="256"/>
      <c r="F2271" s="254"/>
      <c r="G2271" s="254"/>
      <c r="H2271" s="254"/>
      <c r="I2271" s="228"/>
      <c r="J2271" s="228"/>
      <c r="K2271" s="228"/>
      <c r="L2271"/>
      <c r="M2271"/>
    </row>
    <row r="2272" spans="1:13" s="125" customFormat="1" x14ac:dyDescent="0.25">
      <c r="A2272" s="251"/>
      <c r="B2272" s="256"/>
      <c r="C2272" s="256"/>
      <c r="D2272" s="256"/>
      <c r="E2272" s="256"/>
      <c r="F2272" s="254"/>
      <c r="G2272" s="254"/>
      <c r="H2272" s="254"/>
      <c r="I2272" s="228"/>
      <c r="J2272" s="228"/>
      <c r="K2272" s="228"/>
      <c r="L2272"/>
      <c r="M2272"/>
    </row>
    <row r="2273" spans="1:13" s="125" customFormat="1" x14ac:dyDescent="0.25">
      <c r="A2273" s="251"/>
      <c r="B2273" s="256"/>
      <c r="C2273" s="256"/>
      <c r="D2273" s="256"/>
      <c r="E2273" s="256"/>
      <c r="F2273" s="254"/>
      <c r="G2273" s="254"/>
      <c r="H2273" s="254"/>
      <c r="I2273" s="228"/>
      <c r="J2273" s="228"/>
      <c r="K2273" s="228"/>
      <c r="L2273"/>
      <c r="M2273"/>
    </row>
    <row r="2274" spans="1:13" s="125" customFormat="1" x14ac:dyDescent="0.25">
      <c r="A2274" s="251"/>
      <c r="B2274" s="256"/>
      <c r="C2274" s="256"/>
      <c r="D2274" s="256"/>
      <c r="E2274" s="256"/>
      <c r="F2274" s="254"/>
      <c r="G2274" s="254"/>
      <c r="H2274" s="254"/>
      <c r="I2274" s="228"/>
      <c r="J2274" s="228"/>
      <c r="K2274" s="228"/>
      <c r="L2274"/>
      <c r="M2274"/>
    </row>
    <row r="2275" spans="1:13" s="125" customFormat="1" x14ac:dyDescent="0.25">
      <c r="A2275" s="251"/>
      <c r="B2275" s="256"/>
      <c r="C2275" s="256"/>
      <c r="D2275" s="256"/>
      <c r="E2275" s="256"/>
      <c r="F2275" s="254"/>
      <c r="G2275" s="254"/>
      <c r="H2275" s="254"/>
      <c r="I2275" s="228"/>
      <c r="J2275" s="228"/>
      <c r="K2275" s="228"/>
      <c r="L2275"/>
      <c r="M2275"/>
    </row>
    <row r="2276" spans="1:13" s="125" customFormat="1" x14ac:dyDescent="0.25">
      <c r="A2276" s="251"/>
      <c r="B2276" s="256"/>
      <c r="C2276" s="256"/>
      <c r="D2276" s="256"/>
      <c r="E2276" s="256"/>
      <c r="F2276" s="254"/>
      <c r="G2276" s="254"/>
      <c r="H2276" s="254"/>
      <c r="I2276" s="228"/>
      <c r="J2276" s="228"/>
      <c r="K2276" s="228"/>
      <c r="L2276"/>
      <c r="M2276"/>
    </row>
    <row r="2277" spans="1:13" s="125" customFormat="1" x14ac:dyDescent="0.25">
      <c r="A2277" s="251"/>
      <c r="B2277" s="256"/>
      <c r="C2277" s="256"/>
      <c r="D2277" s="256"/>
      <c r="E2277" s="256"/>
      <c r="F2277" s="254"/>
      <c r="G2277" s="254"/>
      <c r="H2277" s="254"/>
      <c r="I2277" s="228"/>
      <c r="J2277" s="228"/>
      <c r="K2277" s="228"/>
      <c r="L2277"/>
      <c r="M2277"/>
    </row>
    <row r="2278" spans="1:13" s="125" customFormat="1" x14ac:dyDescent="0.25">
      <c r="A2278" s="251"/>
      <c r="B2278" s="256"/>
      <c r="C2278" s="256"/>
      <c r="D2278" s="256"/>
      <c r="E2278" s="256"/>
      <c r="F2278" s="254"/>
      <c r="G2278" s="254"/>
      <c r="H2278" s="254"/>
      <c r="I2278" s="228"/>
      <c r="J2278" s="228"/>
      <c r="K2278" s="228"/>
      <c r="L2278"/>
      <c r="M2278"/>
    </row>
    <row r="2279" spans="1:13" s="125" customFormat="1" x14ac:dyDescent="0.25">
      <c r="A2279" s="251"/>
      <c r="B2279" s="256"/>
      <c r="C2279" s="256"/>
      <c r="D2279" s="256"/>
      <c r="E2279" s="256"/>
      <c r="F2279" s="254"/>
      <c r="G2279" s="254"/>
      <c r="H2279" s="254"/>
      <c r="I2279" s="228"/>
      <c r="J2279" s="228"/>
      <c r="K2279" s="228"/>
      <c r="L2279"/>
      <c r="M2279"/>
    </row>
    <row r="2280" spans="1:13" s="125" customFormat="1" x14ac:dyDescent="0.25">
      <c r="A2280" s="251"/>
      <c r="B2280" s="256"/>
      <c r="C2280" s="256"/>
      <c r="D2280" s="256"/>
      <c r="E2280" s="256"/>
      <c r="F2280" s="254"/>
      <c r="G2280" s="254"/>
      <c r="H2280" s="254"/>
      <c r="I2280" s="228"/>
      <c r="J2280" s="228"/>
      <c r="K2280" s="228"/>
      <c r="L2280"/>
      <c r="M2280"/>
    </row>
    <row r="2281" spans="1:13" s="125" customFormat="1" x14ac:dyDescent="0.25">
      <c r="A2281" s="251"/>
      <c r="B2281" s="256"/>
      <c r="C2281" s="256"/>
      <c r="D2281" s="256"/>
      <c r="E2281" s="256"/>
      <c r="F2281" s="254"/>
      <c r="G2281" s="254"/>
      <c r="H2281" s="254"/>
      <c r="I2281" s="228"/>
      <c r="J2281" s="228"/>
      <c r="K2281" s="228"/>
      <c r="L2281"/>
      <c r="M2281"/>
    </row>
    <row r="2282" spans="1:13" s="125" customFormat="1" x14ac:dyDescent="0.25">
      <c r="A2282" s="251"/>
      <c r="B2282" s="256"/>
      <c r="C2282" s="256"/>
      <c r="D2282" s="256"/>
      <c r="E2282" s="256"/>
      <c r="F2282" s="254"/>
      <c r="G2282" s="254"/>
      <c r="H2282" s="254"/>
      <c r="I2282" s="228"/>
      <c r="J2282" s="228"/>
      <c r="K2282" s="228"/>
      <c r="L2282"/>
      <c r="M2282"/>
    </row>
    <row r="2283" spans="1:13" s="125" customFormat="1" x14ac:dyDescent="0.25">
      <c r="A2283" s="251"/>
      <c r="B2283" s="256"/>
      <c r="C2283" s="256"/>
      <c r="D2283" s="256"/>
      <c r="E2283" s="256"/>
      <c r="F2283" s="254"/>
      <c r="G2283" s="254"/>
      <c r="H2283" s="254"/>
      <c r="I2283" s="228"/>
      <c r="J2283" s="228"/>
      <c r="K2283" s="228"/>
      <c r="L2283"/>
      <c r="M2283"/>
    </row>
    <row r="2284" spans="1:13" s="125" customFormat="1" x14ac:dyDescent="0.25">
      <c r="A2284" s="251"/>
      <c r="B2284" s="256"/>
      <c r="C2284" s="256"/>
      <c r="D2284" s="256"/>
      <c r="E2284" s="256"/>
      <c r="F2284" s="254"/>
      <c r="G2284" s="254"/>
      <c r="H2284" s="254"/>
      <c r="I2284" s="228"/>
      <c r="J2284" s="228"/>
      <c r="K2284" s="228"/>
      <c r="L2284"/>
      <c r="M2284"/>
    </row>
    <row r="2285" spans="1:13" s="125" customFormat="1" x14ac:dyDescent="0.25">
      <c r="A2285" s="251"/>
      <c r="B2285" s="256"/>
      <c r="C2285" s="256"/>
      <c r="D2285" s="256"/>
      <c r="E2285" s="256"/>
      <c r="F2285" s="254"/>
      <c r="G2285" s="254"/>
      <c r="H2285" s="254"/>
      <c r="I2285" s="228"/>
      <c r="J2285" s="228"/>
      <c r="K2285" s="228"/>
      <c r="L2285"/>
      <c r="M2285"/>
    </row>
    <row r="2286" spans="1:13" s="125" customFormat="1" x14ac:dyDescent="0.25">
      <c r="A2286" s="251"/>
      <c r="B2286" s="256"/>
      <c r="C2286" s="256"/>
      <c r="D2286" s="256"/>
      <c r="E2286" s="256"/>
      <c r="F2286" s="254"/>
      <c r="G2286" s="254"/>
      <c r="H2286" s="254"/>
      <c r="I2286" s="228"/>
      <c r="J2286" s="228"/>
      <c r="K2286" s="228"/>
      <c r="L2286"/>
      <c r="M2286"/>
    </row>
    <row r="2287" spans="1:13" s="125" customFormat="1" x14ac:dyDescent="0.25">
      <c r="A2287" s="251"/>
      <c r="B2287" s="256"/>
      <c r="C2287" s="256"/>
      <c r="D2287" s="256"/>
      <c r="E2287" s="256"/>
      <c r="F2287" s="254"/>
      <c r="G2287" s="254"/>
      <c r="H2287" s="254"/>
      <c r="I2287" s="228"/>
      <c r="J2287" s="228"/>
      <c r="K2287" s="228"/>
      <c r="L2287"/>
      <c r="M2287"/>
    </row>
    <row r="2288" spans="1:13" s="125" customFormat="1" x14ac:dyDescent="0.25">
      <c r="A2288" s="251"/>
      <c r="B2288" s="256"/>
      <c r="C2288" s="256"/>
      <c r="D2288" s="256"/>
      <c r="E2288" s="256"/>
      <c r="F2288" s="254"/>
      <c r="G2288" s="254"/>
      <c r="H2288" s="254"/>
      <c r="I2288" s="228"/>
      <c r="J2288" s="228"/>
      <c r="K2288" s="228"/>
      <c r="L2288"/>
      <c r="M2288"/>
    </row>
    <row r="2289" spans="1:13" s="125" customFormat="1" x14ac:dyDescent="0.25">
      <c r="A2289" s="251"/>
      <c r="B2289" s="256"/>
      <c r="C2289" s="256"/>
      <c r="D2289" s="256"/>
      <c r="E2289" s="256"/>
      <c r="F2289" s="254"/>
      <c r="G2289" s="254"/>
      <c r="H2289" s="254"/>
      <c r="I2289" s="228"/>
      <c r="J2289" s="228"/>
      <c r="K2289" s="228"/>
      <c r="L2289"/>
      <c r="M2289"/>
    </row>
    <row r="2290" spans="1:13" s="125" customFormat="1" x14ac:dyDescent="0.25">
      <c r="A2290" s="251"/>
      <c r="B2290" s="256"/>
      <c r="C2290" s="256"/>
      <c r="D2290" s="256"/>
      <c r="E2290" s="256"/>
      <c r="F2290" s="254"/>
      <c r="G2290" s="254"/>
      <c r="H2290" s="254"/>
      <c r="I2290" s="228"/>
      <c r="J2290" s="228"/>
      <c r="K2290" s="228"/>
      <c r="L2290"/>
      <c r="M2290"/>
    </row>
    <row r="2291" spans="1:13" s="125" customFormat="1" x14ac:dyDescent="0.25">
      <c r="A2291" s="251"/>
      <c r="B2291" s="256"/>
      <c r="C2291" s="256"/>
      <c r="D2291" s="256"/>
      <c r="E2291" s="256"/>
      <c r="F2291" s="254"/>
      <c r="G2291" s="254"/>
      <c r="H2291" s="254"/>
      <c r="I2291" s="228"/>
      <c r="J2291" s="228"/>
      <c r="K2291" s="228"/>
      <c r="L2291"/>
      <c r="M2291"/>
    </row>
    <row r="2292" spans="1:13" s="125" customFormat="1" x14ac:dyDescent="0.25">
      <c r="A2292" s="251"/>
      <c r="B2292" s="256"/>
      <c r="C2292" s="256"/>
      <c r="D2292" s="256"/>
      <c r="E2292" s="256"/>
      <c r="F2292" s="254"/>
      <c r="G2292" s="254"/>
      <c r="H2292" s="254"/>
      <c r="I2292" s="228"/>
      <c r="J2292" s="228"/>
      <c r="K2292" s="228"/>
      <c r="L2292"/>
      <c r="M2292"/>
    </row>
    <row r="2293" spans="1:13" s="125" customFormat="1" x14ac:dyDescent="0.25">
      <c r="A2293" s="251"/>
      <c r="B2293" s="256"/>
      <c r="C2293" s="256"/>
      <c r="D2293" s="256"/>
      <c r="E2293" s="256"/>
      <c r="F2293" s="254"/>
      <c r="G2293" s="254"/>
      <c r="H2293" s="254"/>
      <c r="I2293" s="228"/>
      <c r="J2293" s="228"/>
      <c r="K2293" s="228"/>
      <c r="L2293"/>
      <c r="M2293"/>
    </row>
    <row r="2294" spans="1:13" s="125" customFormat="1" x14ac:dyDescent="0.25">
      <c r="A2294" s="251"/>
      <c r="B2294" s="256"/>
      <c r="C2294" s="256"/>
      <c r="D2294" s="256"/>
      <c r="E2294" s="256"/>
      <c r="F2294" s="254"/>
      <c r="G2294" s="254"/>
      <c r="H2294" s="254"/>
      <c r="I2294" s="228"/>
      <c r="J2294" s="228"/>
      <c r="K2294" s="228"/>
      <c r="L2294"/>
      <c r="M2294"/>
    </row>
    <row r="2295" spans="1:13" s="125" customFormat="1" x14ac:dyDescent="0.25">
      <c r="A2295" s="251"/>
      <c r="B2295" s="256"/>
      <c r="C2295" s="256"/>
      <c r="D2295" s="256"/>
      <c r="E2295" s="256"/>
      <c r="F2295" s="254"/>
      <c r="G2295" s="254"/>
      <c r="H2295" s="254"/>
      <c r="I2295" s="228"/>
      <c r="J2295" s="228"/>
      <c r="K2295" s="228"/>
      <c r="L2295"/>
      <c r="M2295"/>
    </row>
    <row r="2296" spans="1:13" s="125" customFormat="1" x14ac:dyDescent="0.25">
      <c r="A2296" s="251"/>
      <c r="B2296" s="256"/>
      <c r="C2296" s="256"/>
      <c r="D2296" s="256"/>
      <c r="E2296" s="256"/>
      <c r="F2296" s="254"/>
      <c r="G2296" s="254"/>
      <c r="H2296" s="254"/>
      <c r="I2296" s="228"/>
      <c r="J2296" s="228"/>
      <c r="K2296" s="228"/>
      <c r="L2296"/>
      <c r="M2296"/>
    </row>
    <row r="2297" spans="1:13" s="125" customFormat="1" x14ac:dyDescent="0.25">
      <c r="A2297" s="251"/>
      <c r="B2297" s="256"/>
      <c r="C2297" s="256"/>
      <c r="D2297" s="256"/>
      <c r="E2297" s="256"/>
      <c r="F2297" s="254"/>
      <c r="G2297" s="254"/>
      <c r="H2297" s="254"/>
      <c r="I2297" s="228"/>
      <c r="J2297" s="228"/>
      <c r="K2297" s="228"/>
      <c r="L2297"/>
      <c r="M2297"/>
    </row>
    <row r="2298" spans="1:13" s="125" customFormat="1" x14ac:dyDescent="0.25">
      <c r="A2298" s="251"/>
      <c r="B2298" s="256"/>
      <c r="C2298" s="256"/>
      <c r="D2298" s="256"/>
      <c r="E2298" s="256"/>
      <c r="F2298" s="254"/>
      <c r="G2298" s="254"/>
      <c r="H2298" s="254"/>
      <c r="I2298" s="228"/>
      <c r="J2298" s="228"/>
      <c r="K2298" s="228"/>
      <c r="L2298"/>
      <c r="M2298"/>
    </row>
    <row r="2299" spans="1:13" s="125" customFormat="1" x14ac:dyDescent="0.25">
      <c r="A2299" s="251"/>
      <c r="B2299" s="256"/>
      <c r="C2299" s="256"/>
      <c r="D2299" s="256"/>
      <c r="E2299" s="256"/>
      <c r="F2299" s="254"/>
      <c r="G2299" s="254"/>
      <c r="H2299" s="254"/>
      <c r="I2299" s="228"/>
      <c r="J2299" s="228"/>
      <c r="K2299" s="228"/>
      <c r="L2299"/>
      <c r="M2299"/>
    </row>
    <row r="2300" spans="1:13" s="125" customFormat="1" x14ac:dyDescent="0.25">
      <c r="A2300" s="251"/>
      <c r="B2300" s="256"/>
      <c r="C2300" s="256"/>
      <c r="D2300" s="256"/>
      <c r="E2300" s="256"/>
      <c r="F2300" s="254"/>
      <c r="G2300" s="254"/>
      <c r="H2300" s="254"/>
      <c r="I2300" s="228"/>
      <c r="J2300" s="228"/>
      <c r="K2300" s="228"/>
      <c r="L2300"/>
      <c r="M2300"/>
    </row>
    <row r="2301" spans="1:13" s="125" customFormat="1" x14ac:dyDescent="0.25">
      <c r="A2301" s="251"/>
      <c r="B2301" s="256"/>
      <c r="C2301" s="256"/>
      <c r="D2301" s="256"/>
      <c r="E2301" s="256"/>
      <c r="F2301" s="254"/>
      <c r="G2301" s="254"/>
      <c r="H2301" s="254"/>
      <c r="I2301" s="228"/>
      <c r="J2301" s="228"/>
      <c r="K2301" s="228"/>
      <c r="L2301"/>
      <c r="M2301"/>
    </row>
    <row r="2302" spans="1:13" s="125" customFormat="1" x14ac:dyDescent="0.25">
      <c r="A2302" s="251"/>
      <c r="B2302" s="256"/>
      <c r="C2302" s="256"/>
      <c r="D2302" s="256"/>
      <c r="E2302" s="256"/>
      <c r="F2302" s="254"/>
      <c r="G2302" s="254"/>
      <c r="H2302" s="254"/>
      <c r="I2302" s="228"/>
      <c r="J2302" s="228"/>
      <c r="K2302" s="228"/>
      <c r="L2302"/>
      <c r="M2302"/>
    </row>
    <row r="2303" spans="1:13" s="125" customFormat="1" x14ac:dyDescent="0.25">
      <c r="A2303" s="251"/>
      <c r="B2303" s="256"/>
      <c r="C2303" s="256"/>
      <c r="D2303" s="256"/>
      <c r="E2303" s="256"/>
      <c r="F2303" s="254"/>
      <c r="G2303" s="254"/>
      <c r="H2303" s="254"/>
      <c r="I2303" s="228"/>
      <c r="J2303" s="228"/>
      <c r="K2303" s="228"/>
      <c r="L2303"/>
      <c r="M2303"/>
    </row>
    <row r="2304" spans="1:13" s="125" customFormat="1" x14ac:dyDescent="0.25">
      <c r="A2304" s="251"/>
      <c r="B2304" s="256"/>
      <c r="C2304" s="256"/>
      <c r="D2304" s="256"/>
      <c r="E2304" s="256"/>
      <c r="F2304" s="254"/>
      <c r="G2304" s="254"/>
      <c r="H2304" s="254"/>
      <c r="I2304" s="228"/>
      <c r="J2304" s="228"/>
      <c r="K2304" s="228"/>
      <c r="L2304"/>
      <c r="M2304"/>
    </row>
    <row r="2305" spans="1:13" s="125" customFormat="1" x14ac:dyDescent="0.25">
      <c r="A2305" s="251"/>
      <c r="B2305" s="256"/>
      <c r="C2305" s="256"/>
      <c r="D2305" s="256"/>
      <c r="E2305" s="256"/>
      <c r="F2305" s="254"/>
      <c r="G2305" s="254"/>
      <c r="H2305" s="254"/>
      <c r="I2305" s="228"/>
      <c r="J2305" s="228"/>
      <c r="K2305" s="228"/>
      <c r="L2305"/>
      <c r="M2305"/>
    </row>
    <row r="2306" spans="1:13" s="125" customFormat="1" x14ac:dyDescent="0.25">
      <c r="A2306" s="251"/>
      <c r="B2306" s="256"/>
      <c r="C2306" s="256"/>
      <c r="D2306" s="256"/>
      <c r="E2306" s="256"/>
      <c r="F2306" s="254"/>
      <c r="G2306" s="254"/>
      <c r="H2306" s="254"/>
      <c r="I2306" s="228"/>
      <c r="J2306" s="228"/>
      <c r="K2306" s="228"/>
      <c r="L2306"/>
      <c r="M2306"/>
    </row>
    <row r="2307" spans="1:13" s="125" customFormat="1" x14ac:dyDescent="0.25">
      <c r="A2307" s="251"/>
      <c r="B2307" s="256"/>
      <c r="C2307" s="256"/>
      <c r="D2307" s="256"/>
      <c r="E2307" s="256"/>
      <c r="F2307" s="254"/>
      <c r="G2307" s="254"/>
      <c r="H2307" s="254"/>
      <c r="I2307" s="228"/>
      <c r="J2307" s="228"/>
      <c r="K2307" s="228"/>
      <c r="L2307"/>
      <c r="M2307"/>
    </row>
    <row r="2308" spans="1:13" s="125" customFormat="1" x14ac:dyDescent="0.25">
      <c r="A2308" s="251"/>
      <c r="B2308" s="256"/>
      <c r="C2308" s="256"/>
      <c r="D2308" s="256"/>
      <c r="E2308" s="256"/>
      <c r="F2308" s="254"/>
      <c r="G2308" s="254"/>
      <c r="H2308" s="254"/>
      <c r="I2308" s="228"/>
      <c r="J2308" s="228"/>
      <c r="K2308" s="228"/>
      <c r="L2308"/>
      <c r="M2308"/>
    </row>
    <row r="2309" spans="1:13" s="125" customFormat="1" x14ac:dyDescent="0.25">
      <c r="A2309" s="251"/>
      <c r="B2309" s="256"/>
      <c r="C2309" s="256"/>
      <c r="D2309" s="256"/>
      <c r="E2309" s="256"/>
      <c r="F2309" s="254"/>
      <c r="G2309" s="254"/>
      <c r="H2309" s="254"/>
      <c r="I2309" s="228"/>
      <c r="J2309" s="228"/>
      <c r="K2309" s="228"/>
      <c r="L2309"/>
      <c r="M2309"/>
    </row>
    <row r="2310" spans="1:13" s="125" customFormat="1" x14ac:dyDescent="0.25">
      <c r="A2310" s="251"/>
      <c r="B2310" s="256"/>
      <c r="C2310" s="256"/>
      <c r="D2310" s="256"/>
      <c r="E2310" s="256"/>
      <c r="F2310" s="254"/>
      <c r="G2310" s="254"/>
      <c r="H2310" s="254"/>
      <c r="I2310" s="228"/>
      <c r="J2310" s="228"/>
      <c r="K2310" s="228"/>
      <c r="L2310"/>
      <c r="M2310"/>
    </row>
    <row r="2311" spans="1:13" s="125" customFormat="1" x14ac:dyDescent="0.25">
      <c r="A2311" s="251"/>
      <c r="B2311" s="256"/>
      <c r="C2311" s="256"/>
      <c r="D2311" s="256"/>
      <c r="E2311" s="256"/>
      <c r="F2311" s="254"/>
      <c r="G2311" s="254"/>
      <c r="H2311" s="254"/>
      <c r="I2311" s="228"/>
      <c r="J2311" s="228"/>
      <c r="K2311" s="228"/>
      <c r="L2311"/>
      <c r="M2311"/>
    </row>
    <row r="2312" spans="1:13" s="125" customFormat="1" x14ac:dyDescent="0.25">
      <c r="A2312" s="251"/>
      <c r="B2312" s="256"/>
      <c r="C2312" s="256"/>
      <c r="D2312" s="256"/>
      <c r="E2312" s="256"/>
      <c r="F2312" s="254"/>
      <c r="G2312" s="254"/>
      <c r="H2312" s="254"/>
      <c r="I2312" s="228"/>
      <c r="J2312" s="228"/>
      <c r="K2312" s="228"/>
      <c r="L2312"/>
      <c r="M2312"/>
    </row>
    <row r="2313" spans="1:13" s="125" customFormat="1" x14ac:dyDescent="0.25">
      <c r="A2313" s="251"/>
      <c r="B2313" s="256"/>
      <c r="C2313" s="256"/>
      <c r="D2313" s="256"/>
      <c r="E2313" s="256"/>
      <c r="F2313" s="254"/>
      <c r="G2313" s="254"/>
      <c r="H2313" s="254"/>
      <c r="I2313" s="228"/>
      <c r="J2313" s="228"/>
      <c r="K2313" s="228"/>
      <c r="L2313"/>
      <c r="M2313"/>
    </row>
    <row r="2314" spans="1:13" s="125" customFormat="1" x14ac:dyDescent="0.25">
      <c r="A2314" s="251"/>
      <c r="B2314" s="256"/>
      <c r="C2314" s="256"/>
      <c r="D2314" s="256"/>
      <c r="E2314" s="256"/>
      <c r="F2314" s="254"/>
      <c r="G2314" s="254"/>
      <c r="H2314" s="254"/>
      <c r="I2314" s="228"/>
      <c r="J2314" s="228"/>
      <c r="K2314" s="228"/>
      <c r="L2314"/>
      <c r="M2314"/>
    </row>
    <row r="2315" spans="1:13" s="125" customFormat="1" x14ac:dyDescent="0.25">
      <c r="A2315" s="251"/>
      <c r="B2315" s="256"/>
      <c r="C2315" s="256"/>
      <c r="D2315" s="256"/>
      <c r="E2315" s="256"/>
      <c r="F2315" s="254"/>
      <c r="G2315" s="254"/>
      <c r="H2315" s="254"/>
      <c r="I2315" s="228"/>
      <c r="J2315" s="228"/>
      <c r="K2315" s="228"/>
      <c r="L2315"/>
      <c r="M2315"/>
    </row>
    <row r="2316" spans="1:13" s="125" customFormat="1" x14ac:dyDescent="0.25">
      <c r="A2316" s="251"/>
      <c r="B2316" s="256"/>
      <c r="C2316" s="256"/>
      <c r="D2316" s="256"/>
      <c r="E2316" s="256"/>
      <c r="F2316" s="254"/>
      <c r="G2316" s="254"/>
      <c r="H2316" s="254"/>
      <c r="I2316" s="228"/>
      <c r="J2316" s="228"/>
      <c r="K2316" s="228"/>
      <c r="L2316"/>
      <c r="M2316"/>
    </row>
    <row r="2317" spans="1:13" s="125" customFormat="1" x14ac:dyDescent="0.25">
      <c r="A2317" s="251"/>
      <c r="B2317" s="256"/>
      <c r="C2317" s="256"/>
      <c r="D2317" s="256"/>
      <c r="E2317" s="256"/>
      <c r="F2317" s="254"/>
      <c r="G2317" s="254"/>
      <c r="H2317" s="254"/>
      <c r="I2317" s="228"/>
      <c r="J2317" s="228"/>
      <c r="K2317" s="228"/>
      <c r="L2317"/>
      <c r="M2317"/>
    </row>
    <row r="2318" spans="1:13" s="125" customFormat="1" x14ac:dyDescent="0.25">
      <c r="A2318" s="251"/>
      <c r="B2318" s="256"/>
      <c r="C2318" s="256"/>
      <c r="D2318" s="256"/>
      <c r="E2318" s="256"/>
      <c r="F2318" s="254"/>
      <c r="G2318" s="254"/>
      <c r="H2318" s="254"/>
      <c r="I2318" s="228"/>
      <c r="J2318" s="228"/>
      <c r="K2318" s="228"/>
      <c r="L2318"/>
      <c r="M2318"/>
    </row>
    <row r="2319" spans="1:13" s="125" customFormat="1" x14ac:dyDescent="0.25">
      <c r="A2319" s="251"/>
      <c r="B2319" s="256"/>
      <c r="C2319" s="256"/>
      <c r="D2319" s="256"/>
      <c r="E2319" s="256"/>
      <c r="F2319" s="254"/>
      <c r="G2319" s="254"/>
      <c r="H2319" s="254"/>
      <c r="I2319" s="228"/>
      <c r="J2319" s="228"/>
      <c r="K2319" s="228"/>
      <c r="L2319"/>
      <c r="M2319"/>
    </row>
    <row r="2320" spans="1:13" s="125" customFormat="1" x14ac:dyDescent="0.25">
      <c r="A2320" s="251"/>
      <c r="B2320" s="256"/>
      <c r="C2320" s="256"/>
      <c r="D2320" s="256"/>
      <c r="E2320" s="256"/>
      <c r="F2320" s="254"/>
      <c r="G2320" s="254"/>
      <c r="H2320" s="254"/>
      <c r="I2320" s="228"/>
      <c r="J2320" s="228"/>
      <c r="K2320" s="228"/>
      <c r="L2320"/>
      <c r="M2320"/>
    </row>
    <row r="2321" spans="1:13" s="125" customFormat="1" x14ac:dyDescent="0.25">
      <c r="A2321" s="251"/>
      <c r="B2321" s="256"/>
      <c r="C2321" s="256"/>
      <c r="D2321" s="256"/>
      <c r="E2321" s="256"/>
      <c r="F2321" s="254"/>
      <c r="G2321" s="254"/>
      <c r="H2321" s="254"/>
      <c r="I2321" s="228"/>
      <c r="J2321" s="228"/>
      <c r="K2321" s="228"/>
      <c r="L2321"/>
      <c r="M2321"/>
    </row>
    <row r="2322" spans="1:13" s="125" customFormat="1" x14ac:dyDescent="0.25">
      <c r="A2322" s="251"/>
      <c r="B2322" s="256"/>
      <c r="C2322" s="256"/>
      <c r="D2322" s="256"/>
      <c r="E2322" s="256"/>
      <c r="F2322" s="254"/>
      <c r="G2322" s="254"/>
      <c r="H2322" s="254"/>
      <c r="I2322" s="228"/>
      <c r="J2322" s="228"/>
      <c r="K2322" s="228"/>
      <c r="L2322"/>
      <c r="M2322"/>
    </row>
    <row r="2323" spans="1:13" s="125" customFormat="1" x14ac:dyDescent="0.25">
      <c r="A2323" s="251"/>
      <c r="B2323" s="256"/>
      <c r="C2323" s="256"/>
      <c r="D2323" s="256"/>
      <c r="E2323" s="256"/>
      <c r="F2323" s="254"/>
      <c r="G2323" s="254"/>
      <c r="H2323" s="254"/>
      <c r="I2323" s="228"/>
      <c r="J2323" s="228"/>
      <c r="K2323" s="228"/>
      <c r="L2323"/>
      <c r="M2323"/>
    </row>
    <row r="2324" spans="1:13" s="125" customFormat="1" x14ac:dyDescent="0.25">
      <c r="A2324" s="251"/>
      <c r="B2324" s="256"/>
      <c r="C2324" s="256"/>
      <c r="D2324" s="256"/>
      <c r="E2324" s="256"/>
      <c r="F2324" s="254"/>
      <c r="G2324" s="254"/>
      <c r="H2324" s="254"/>
      <c r="I2324" s="228"/>
      <c r="J2324" s="228"/>
      <c r="K2324" s="228"/>
      <c r="L2324"/>
      <c r="M2324"/>
    </row>
    <row r="2325" spans="1:13" s="125" customFormat="1" x14ac:dyDescent="0.25">
      <c r="A2325" s="251"/>
      <c r="B2325" s="256"/>
      <c r="C2325" s="256"/>
      <c r="D2325" s="256"/>
      <c r="E2325" s="256"/>
      <c r="F2325" s="254"/>
      <c r="G2325" s="254"/>
      <c r="H2325" s="254"/>
      <c r="I2325" s="228"/>
      <c r="J2325" s="228"/>
      <c r="K2325" s="228"/>
      <c r="L2325"/>
      <c r="M2325"/>
    </row>
    <row r="2326" spans="1:13" s="125" customFormat="1" x14ac:dyDescent="0.25">
      <c r="A2326" s="251"/>
      <c r="B2326" s="256"/>
      <c r="C2326" s="256"/>
      <c r="D2326" s="256"/>
      <c r="E2326" s="256"/>
      <c r="F2326" s="254"/>
      <c r="G2326" s="254"/>
      <c r="H2326" s="254"/>
      <c r="I2326" s="228"/>
      <c r="J2326" s="228"/>
      <c r="K2326" s="228"/>
      <c r="L2326"/>
      <c r="M2326"/>
    </row>
    <row r="2327" spans="1:13" s="125" customFormat="1" x14ac:dyDescent="0.25">
      <c r="A2327" s="251"/>
      <c r="B2327" s="256"/>
      <c r="C2327" s="256"/>
      <c r="D2327" s="256"/>
      <c r="E2327" s="256"/>
      <c r="F2327" s="254"/>
      <c r="G2327" s="254"/>
      <c r="H2327" s="254"/>
      <c r="I2327" s="228"/>
      <c r="J2327" s="228"/>
      <c r="K2327" s="228"/>
      <c r="L2327"/>
      <c r="M2327"/>
    </row>
    <row r="2328" spans="1:13" s="125" customFormat="1" x14ac:dyDescent="0.25">
      <c r="A2328" s="251"/>
      <c r="B2328" s="256"/>
      <c r="C2328" s="256"/>
      <c r="D2328" s="256"/>
      <c r="E2328" s="256"/>
      <c r="F2328" s="254"/>
      <c r="G2328" s="254"/>
      <c r="H2328" s="254"/>
      <c r="I2328" s="228"/>
      <c r="J2328" s="228"/>
      <c r="K2328" s="228"/>
      <c r="L2328"/>
      <c r="M2328"/>
    </row>
    <row r="2329" spans="1:13" s="125" customFormat="1" x14ac:dyDescent="0.25">
      <c r="A2329" s="251"/>
      <c r="B2329" s="256"/>
      <c r="C2329" s="256"/>
      <c r="D2329" s="256"/>
      <c r="E2329" s="256"/>
      <c r="F2329" s="254"/>
      <c r="G2329" s="254"/>
      <c r="H2329" s="254"/>
      <c r="I2329" s="228"/>
      <c r="J2329" s="228"/>
      <c r="K2329" s="228"/>
      <c r="L2329"/>
      <c r="M2329"/>
    </row>
    <row r="2330" spans="1:13" s="125" customFormat="1" x14ac:dyDescent="0.25">
      <c r="A2330" s="251"/>
      <c r="B2330" s="256"/>
      <c r="C2330" s="256"/>
      <c r="D2330" s="256"/>
      <c r="E2330" s="256"/>
      <c r="F2330" s="254"/>
      <c r="G2330" s="254"/>
      <c r="H2330" s="254"/>
      <c r="I2330" s="228"/>
      <c r="J2330" s="228"/>
      <c r="K2330" s="228"/>
      <c r="L2330"/>
      <c r="M2330"/>
    </row>
    <row r="2331" spans="1:13" s="125" customFormat="1" x14ac:dyDescent="0.25">
      <c r="A2331" s="251"/>
      <c r="B2331" s="256"/>
      <c r="C2331" s="256"/>
      <c r="D2331" s="256"/>
      <c r="E2331" s="256"/>
      <c r="F2331" s="254"/>
      <c r="G2331" s="254"/>
      <c r="H2331" s="254"/>
      <c r="I2331" s="228"/>
      <c r="J2331" s="228"/>
      <c r="K2331" s="228"/>
      <c r="L2331"/>
      <c r="M2331"/>
    </row>
    <row r="2332" spans="1:13" s="125" customFormat="1" x14ac:dyDescent="0.25">
      <c r="A2332" s="251"/>
      <c r="B2332" s="256"/>
      <c r="C2332" s="256"/>
      <c r="D2332" s="256"/>
      <c r="E2332" s="256"/>
      <c r="F2332" s="254"/>
      <c r="G2332" s="254"/>
      <c r="H2332" s="254"/>
      <c r="I2332" s="228"/>
      <c r="J2332" s="228"/>
      <c r="K2332" s="228"/>
      <c r="L2332"/>
      <c r="M2332"/>
    </row>
    <row r="2333" spans="1:13" s="125" customFormat="1" x14ac:dyDescent="0.25">
      <c r="A2333" s="251"/>
      <c r="B2333" s="256"/>
      <c r="C2333" s="256"/>
      <c r="D2333" s="256"/>
      <c r="E2333" s="256"/>
      <c r="F2333" s="254"/>
      <c r="G2333" s="254"/>
      <c r="H2333" s="254"/>
      <c r="I2333" s="228"/>
      <c r="J2333" s="228"/>
      <c r="K2333" s="228"/>
      <c r="L2333"/>
      <c r="M2333"/>
    </row>
    <row r="2334" spans="1:13" s="125" customFormat="1" x14ac:dyDescent="0.25">
      <c r="A2334" s="251"/>
      <c r="B2334" s="256"/>
      <c r="C2334" s="256"/>
      <c r="D2334" s="256"/>
      <c r="E2334" s="256"/>
      <c r="F2334" s="254"/>
      <c r="G2334" s="254"/>
      <c r="H2334" s="254"/>
      <c r="I2334" s="228"/>
      <c r="J2334" s="228"/>
      <c r="K2334" s="228"/>
      <c r="L2334"/>
      <c r="M2334"/>
    </row>
    <row r="2335" spans="1:13" s="125" customFormat="1" x14ac:dyDescent="0.25">
      <c r="A2335" s="251"/>
      <c r="B2335" s="256"/>
      <c r="C2335" s="256"/>
      <c r="D2335" s="256"/>
      <c r="E2335" s="256"/>
      <c r="F2335" s="254"/>
      <c r="G2335" s="254"/>
      <c r="H2335" s="254"/>
      <c r="I2335" s="228"/>
      <c r="J2335" s="228"/>
      <c r="K2335" s="228"/>
      <c r="L2335"/>
      <c r="M2335"/>
    </row>
    <row r="2336" spans="1:13" s="125" customFormat="1" x14ac:dyDescent="0.25">
      <c r="A2336" s="251"/>
      <c r="B2336" s="256"/>
      <c r="C2336" s="256"/>
      <c r="D2336" s="256"/>
      <c r="E2336" s="256"/>
      <c r="F2336" s="254"/>
      <c r="G2336" s="254"/>
      <c r="H2336" s="254"/>
      <c r="I2336" s="228"/>
      <c r="J2336" s="228"/>
      <c r="K2336" s="228"/>
      <c r="L2336"/>
      <c r="M2336"/>
    </row>
    <row r="2337" spans="1:13" s="125" customFormat="1" x14ac:dyDescent="0.25">
      <c r="A2337" s="251"/>
      <c r="B2337" s="256"/>
      <c r="C2337" s="256"/>
      <c r="D2337" s="256"/>
      <c r="E2337" s="256"/>
      <c r="F2337" s="254"/>
      <c r="G2337" s="254"/>
      <c r="H2337" s="254"/>
      <c r="I2337" s="228"/>
      <c r="J2337" s="228"/>
      <c r="K2337" s="228"/>
      <c r="L2337"/>
      <c r="M2337"/>
    </row>
    <row r="2338" spans="1:13" s="125" customFormat="1" x14ac:dyDescent="0.25">
      <c r="A2338" s="251"/>
      <c r="B2338" s="256"/>
      <c r="C2338" s="256"/>
      <c r="D2338" s="256"/>
      <c r="E2338" s="256"/>
      <c r="F2338" s="254"/>
      <c r="G2338" s="254"/>
      <c r="H2338" s="254"/>
      <c r="I2338" s="228"/>
      <c r="J2338" s="228"/>
      <c r="K2338" s="228"/>
      <c r="L2338"/>
      <c r="M2338"/>
    </row>
    <row r="2339" spans="1:13" s="125" customFormat="1" x14ac:dyDescent="0.25">
      <c r="A2339" s="251"/>
      <c r="B2339" s="256"/>
      <c r="C2339" s="256"/>
      <c r="D2339" s="256"/>
      <c r="E2339" s="256"/>
      <c r="F2339" s="254"/>
      <c r="G2339" s="254"/>
      <c r="H2339" s="254"/>
      <c r="I2339" s="228"/>
      <c r="J2339" s="228"/>
      <c r="K2339" s="228"/>
      <c r="L2339"/>
      <c r="M2339"/>
    </row>
    <row r="2340" spans="1:13" s="125" customFormat="1" x14ac:dyDescent="0.25">
      <c r="A2340" s="251"/>
      <c r="B2340" s="256"/>
      <c r="C2340" s="256"/>
      <c r="D2340" s="256"/>
      <c r="E2340" s="256"/>
      <c r="F2340" s="254"/>
      <c r="G2340" s="254"/>
      <c r="H2340" s="254"/>
      <c r="I2340" s="228"/>
      <c r="J2340" s="228"/>
      <c r="K2340" s="228"/>
      <c r="L2340"/>
      <c r="M2340"/>
    </row>
    <row r="2341" spans="1:13" s="125" customFormat="1" x14ac:dyDescent="0.25">
      <c r="A2341" s="251"/>
      <c r="B2341" s="256"/>
      <c r="C2341" s="256"/>
      <c r="D2341" s="256"/>
      <c r="E2341" s="256"/>
      <c r="F2341" s="254"/>
      <c r="G2341" s="254"/>
      <c r="H2341" s="254"/>
      <c r="I2341" s="228"/>
      <c r="J2341" s="228"/>
      <c r="K2341" s="228"/>
      <c r="L2341"/>
      <c r="M2341"/>
    </row>
    <row r="2342" spans="1:13" s="125" customFormat="1" x14ac:dyDescent="0.25">
      <c r="A2342" s="251"/>
      <c r="B2342" s="256"/>
      <c r="C2342" s="256"/>
      <c r="D2342" s="256"/>
      <c r="E2342" s="256"/>
      <c r="F2342" s="254"/>
      <c r="G2342" s="254"/>
      <c r="H2342" s="254"/>
      <c r="I2342" s="228"/>
      <c r="J2342" s="228"/>
      <c r="K2342" s="228"/>
      <c r="L2342"/>
      <c r="M2342"/>
    </row>
    <row r="2343" spans="1:13" s="125" customFormat="1" x14ac:dyDescent="0.25">
      <c r="A2343" s="251"/>
      <c r="B2343" s="256"/>
      <c r="C2343" s="256"/>
      <c r="D2343" s="256"/>
      <c r="E2343" s="256"/>
      <c r="F2343" s="254"/>
      <c r="G2343" s="254"/>
      <c r="H2343" s="254"/>
      <c r="I2343" s="228"/>
      <c r="J2343" s="228"/>
      <c r="K2343" s="228"/>
      <c r="L2343"/>
      <c r="M2343"/>
    </row>
    <row r="2344" spans="1:13" s="125" customFormat="1" x14ac:dyDescent="0.25">
      <c r="A2344" s="251"/>
      <c r="B2344" s="256"/>
      <c r="C2344" s="256"/>
      <c r="D2344" s="256"/>
      <c r="E2344" s="256"/>
      <c r="F2344" s="254"/>
      <c r="G2344" s="254"/>
      <c r="H2344" s="254"/>
      <c r="I2344" s="228"/>
      <c r="J2344" s="228"/>
      <c r="K2344" s="228"/>
      <c r="L2344"/>
      <c r="M2344"/>
    </row>
    <row r="2345" spans="1:13" s="125" customFormat="1" x14ac:dyDescent="0.25">
      <c r="A2345" s="251"/>
      <c r="B2345" s="256"/>
      <c r="C2345" s="256"/>
      <c r="D2345" s="256"/>
      <c r="E2345" s="256"/>
      <c r="F2345" s="254"/>
      <c r="G2345" s="254"/>
      <c r="H2345" s="254"/>
      <c r="I2345" s="228"/>
      <c r="J2345" s="228"/>
      <c r="K2345" s="228"/>
      <c r="L2345"/>
      <c r="M2345"/>
    </row>
    <row r="2346" spans="1:13" s="125" customFormat="1" x14ac:dyDescent="0.25">
      <c r="A2346" s="251"/>
      <c r="B2346" s="256"/>
      <c r="C2346" s="256"/>
      <c r="D2346" s="256"/>
      <c r="E2346" s="256"/>
      <c r="F2346" s="254"/>
      <c r="G2346" s="254"/>
      <c r="H2346" s="254"/>
      <c r="I2346" s="228"/>
      <c r="J2346" s="228"/>
      <c r="K2346" s="228"/>
      <c r="L2346"/>
      <c r="M2346"/>
    </row>
    <row r="2347" spans="1:13" s="125" customFormat="1" x14ac:dyDescent="0.25">
      <c r="A2347" s="251"/>
      <c r="B2347" s="256"/>
      <c r="C2347" s="256"/>
      <c r="D2347" s="256"/>
      <c r="E2347" s="256"/>
      <c r="F2347" s="254"/>
      <c r="G2347" s="254"/>
      <c r="H2347" s="254"/>
      <c r="I2347" s="228"/>
      <c r="J2347" s="228"/>
      <c r="K2347" s="228"/>
      <c r="L2347"/>
      <c r="M2347"/>
    </row>
    <row r="2348" spans="1:13" s="125" customFormat="1" x14ac:dyDescent="0.25">
      <c r="A2348" s="251"/>
      <c r="B2348" s="256"/>
      <c r="C2348" s="256"/>
      <c r="D2348" s="256"/>
      <c r="E2348" s="256"/>
      <c r="F2348" s="254"/>
      <c r="G2348" s="254"/>
      <c r="H2348" s="254"/>
      <c r="I2348" s="228"/>
      <c r="J2348" s="228"/>
      <c r="K2348" s="228"/>
      <c r="L2348"/>
      <c r="M2348"/>
    </row>
    <row r="2349" spans="1:13" s="125" customFormat="1" x14ac:dyDescent="0.25">
      <c r="A2349" s="251"/>
      <c r="B2349" s="256"/>
      <c r="C2349" s="256"/>
      <c r="D2349" s="256"/>
      <c r="E2349" s="256"/>
      <c r="F2349" s="254"/>
      <c r="G2349" s="254"/>
      <c r="H2349" s="254"/>
      <c r="I2349" s="228"/>
      <c r="J2349" s="228"/>
      <c r="K2349" s="228"/>
      <c r="L2349"/>
      <c r="M2349"/>
    </row>
    <row r="2350" spans="1:13" s="125" customFormat="1" x14ac:dyDescent="0.25">
      <c r="A2350" s="251"/>
      <c r="B2350" s="256"/>
      <c r="C2350" s="256"/>
      <c r="D2350" s="256"/>
      <c r="E2350" s="256"/>
      <c r="F2350" s="254"/>
      <c r="G2350" s="254"/>
      <c r="H2350" s="254"/>
      <c r="I2350" s="228"/>
      <c r="J2350" s="228"/>
      <c r="K2350" s="228"/>
      <c r="L2350"/>
      <c r="M2350"/>
    </row>
    <row r="2351" spans="1:13" s="125" customFormat="1" x14ac:dyDescent="0.25">
      <c r="A2351" s="251"/>
      <c r="B2351" s="256"/>
      <c r="C2351" s="256"/>
      <c r="D2351" s="256"/>
      <c r="E2351" s="256"/>
      <c r="F2351" s="254"/>
      <c r="G2351" s="254"/>
      <c r="H2351" s="254"/>
      <c r="I2351" s="228"/>
      <c r="J2351" s="228"/>
      <c r="K2351" s="228"/>
      <c r="L2351"/>
      <c r="M2351"/>
    </row>
    <row r="2352" spans="1:13" s="125" customFormat="1" x14ac:dyDescent="0.25">
      <c r="A2352" s="251"/>
      <c r="B2352" s="256"/>
      <c r="C2352" s="256"/>
      <c r="D2352" s="256"/>
      <c r="E2352" s="256"/>
      <c r="F2352" s="254"/>
      <c r="G2352" s="254"/>
      <c r="H2352" s="254"/>
      <c r="I2352" s="228"/>
      <c r="J2352" s="228"/>
      <c r="K2352" s="228"/>
      <c r="L2352"/>
      <c r="M2352"/>
    </row>
    <row r="2353" spans="1:13" s="125" customFormat="1" x14ac:dyDescent="0.25">
      <c r="A2353" s="251"/>
      <c r="B2353" s="256"/>
      <c r="C2353" s="256"/>
      <c r="D2353" s="256"/>
      <c r="E2353" s="256"/>
      <c r="F2353" s="254"/>
      <c r="G2353" s="254"/>
      <c r="H2353" s="254"/>
      <c r="I2353" s="228"/>
      <c r="J2353" s="228"/>
      <c r="K2353" s="228"/>
      <c r="L2353"/>
      <c r="M2353"/>
    </row>
    <row r="2354" spans="1:13" s="125" customFormat="1" x14ac:dyDescent="0.25">
      <c r="A2354" s="251"/>
      <c r="B2354" s="256"/>
      <c r="C2354" s="256"/>
      <c r="D2354" s="256"/>
      <c r="E2354" s="256"/>
      <c r="F2354" s="254"/>
      <c r="G2354" s="254"/>
      <c r="H2354" s="254"/>
      <c r="I2354" s="228"/>
      <c r="J2354" s="228"/>
      <c r="K2354" s="228"/>
      <c r="L2354"/>
      <c r="M2354"/>
    </row>
    <row r="2355" spans="1:13" s="125" customFormat="1" x14ac:dyDescent="0.25">
      <c r="A2355" s="251"/>
      <c r="B2355" s="256"/>
      <c r="C2355" s="256"/>
      <c r="D2355" s="256"/>
      <c r="E2355" s="256"/>
      <c r="F2355" s="254"/>
      <c r="G2355" s="254"/>
      <c r="H2355" s="254"/>
      <c r="I2355" s="228"/>
      <c r="J2355" s="228"/>
      <c r="K2355" s="228"/>
      <c r="L2355"/>
      <c r="M2355"/>
    </row>
    <row r="2356" spans="1:13" s="125" customFormat="1" x14ac:dyDescent="0.25">
      <c r="A2356" s="251"/>
      <c r="B2356" s="256"/>
      <c r="C2356" s="256"/>
      <c r="D2356" s="256"/>
      <c r="E2356" s="256"/>
      <c r="F2356" s="254"/>
      <c r="G2356" s="254"/>
      <c r="H2356" s="254"/>
      <c r="I2356" s="228"/>
      <c r="J2356" s="228"/>
      <c r="K2356" s="228"/>
      <c r="L2356"/>
      <c r="M2356"/>
    </row>
    <row r="2357" spans="1:13" s="125" customFormat="1" x14ac:dyDescent="0.25">
      <c r="A2357" s="251"/>
      <c r="B2357" s="256"/>
      <c r="C2357" s="256"/>
      <c r="D2357" s="256"/>
      <c r="E2357" s="256"/>
      <c r="F2357" s="254"/>
      <c r="G2357" s="254"/>
      <c r="H2357" s="254"/>
      <c r="I2357" s="228"/>
      <c r="J2357" s="228"/>
      <c r="K2357" s="228"/>
      <c r="L2357"/>
      <c r="M2357"/>
    </row>
    <row r="2358" spans="1:13" s="125" customFormat="1" x14ac:dyDescent="0.25">
      <c r="A2358" s="251"/>
      <c r="B2358" s="256"/>
      <c r="C2358" s="256"/>
      <c r="D2358" s="256"/>
      <c r="E2358" s="256"/>
      <c r="F2358" s="254"/>
      <c r="G2358" s="254"/>
      <c r="H2358" s="254"/>
      <c r="I2358" s="228"/>
      <c r="J2358" s="228"/>
      <c r="K2358" s="228"/>
      <c r="L2358"/>
      <c r="M2358"/>
    </row>
    <row r="2359" spans="1:13" s="125" customFormat="1" x14ac:dyDescent="0.25">
      <c r="A2359" s="251"/>
      <c r="B2359" s="256"/>
      <c r="C2359" s="256"/>
      <c r="D2359" s="256"/>
      <c r="E2359" s="256"/>
      <c r="F2359" s="254"/>
      <c r="G2359" s="254"/>
      <c r="H2359" s="254"/>
      <c r="I2359" s="228"/>
      <c r="J2359" s="228"/>
      <c r="K2359" s="228"/>
      <c r="L2359"/>
      <c r="M2359"/>
    </row>
    <row r="2360" spans="1:13" s="125" customFormat="1" x14ac:dyDescent="0.25">
      <c r="A2360" s="251"/>
      <c r="B2360" s="256"/>
      <c r="C2360" s="256"/>
      <c r="D2360" s="256"/>
      <c r="E2360" s="256"/>
      <c r="F2360" s="254"/>
      <c r="G2360" s="254"/>
      <c r="H2360" s="254"/>
      <c r="I2360" s="228"/>
      <c r="J2360" s="228"/>
      <c r="K2360" s="228"/>
      <c r="L2360"/>
      <c r="M2360"/>
    </row>
    <row r="2361" spans="1:13" s="125" customFormat="1" x14ac:dyDescent="0.25">
      <c r="A2361" s="251"/>
      <c r="B2361" s="256"/>
      <c r="C2361" s="256"/>
      <c r="D2361" s="256"/>
      <c r="E2361" s="256"/>
      <c r="F2361" s="254"/>
      <c r="G2361" s="254"/>
      <c r="H2361" s="254"/>
      <c r="I2361" s="228"/>
      <c r="J2361" s="228"/>
      <c r="K2361" s="228"/>
      <c r="L2361"/>
      <c r="M2361"/>
    </row>
    <row r="2362" spans="1:13" s="125" customFormat="1" x14ac:dyDescent="0.25">
      <c r="A2362" s="251"/>
      <c r="B2362" s="256"/>
      <c r="C2362" s="256"/>
      <c r="D2362" s="256"/>
      <c r="E2362" s="256"/>
      <c r="F2362" s="254"/>
      <c r="G2362" s="254"/>
      <c r="H2362" s="254"/>
      <c r="I2362" s="228"/>
      <c r="J2362" s="228"/>
      <c r="K2362" s="228"/>
      <c r="L2362"/>
      <c r="M2362"/>
    </row>
    <row r="2363" spans="1:13" s="125" customFormat="1" x14ac:dyDescent="0.25">
      <c r="A2363" s="251"/>
      <c r="B2363" s="256"/>
      <c r="C2363" s="256"/>
      <c r="D2363" s="256"/>
      <c r="E2363" s="256"/>
      <c r="F2363" s="254"/>
      <c r="G2363" s="254"/>
      <c r="H2363" s="254"/>
      <c r="I2363" s="228"/>
      <c r="J2363" s="228"/>
      <c r="K2363" s="228"/>
      <c r="L2363"/>
      <c r="M2363"/>
    </row>
    <row r="2364" spans="1:13" s="125" customFormat="1" x14ac:dyDescent="0.25">
      <c r="A2364" s="251"/>
      <c r="B2364" s="256"/>
      <c r="C2364" s="256"/>
      <c r="D2364" s="256"/>
      <c r="E2364" s="256"/>
      <c r="F2364" s="254"/>
      <c r="G2364" s="254"/>
      <c r="H2364" s="254"/>
      <c r="I2364" s="228"/>
      <c r="J2364" s="228"/>
      <c r="K2364" s="228"/>
      <c r="L2364"/>
      <c r="M2364"/>
    </row>
    <row r="2365" spans="1:13" s="125" customFormat="1" x14ac:dyDescent="0.25">
      <c r="A2365" s="251"/>
      <c r="B2365" s="256"/>
      <c r="C2365" s="256"/>
      <c r="D2365" s="256"/>
      <c r="E2365" s="256"/>
      <c r="F2365" s="254"/>
      <c r="G2365" s="254"/>
      <c r="H2365" s="254"/>
      <c r="I2365" s="228"/>
      <c r="J2365" s="228"/>
      <c r="K2365" s="228"/>
      <c r="L2365"/>
      <c r="M2365"/>
    </row>
    <row r="2366" spans="1:13" s="125" customFormat="1" x14ac:dyDescent="0.25">
      <c r="A2366" s="251"/>
      <c r="B2366" s="256"/>
      <c r="C2366" s="256"/>
      <c r="D2366" s="256"/>
      <c r="E2366" s="256"/>
      <c r="F2366" s="254"/>
      <c r="G2366" s="254"/>
      <c r="H2366" s="254"/>
      <c r="I2366" s="228"/>
      <c r="J2366" s="228"/>
      <c r="K2366" s="228"/>
      <c r="L2366"/>
      <c r="M2366"/>
    </row>
    <row r="2367" spans="1:13" s="125" customFormat="1" x14ac:dyDescent="0.25">
      <c r="A2367" s="251"/>
      <c r="B2367" s="256"/>
      <c r="C2367" s="256"/>
      <c r="D2367" s="256"/>
      <c r="E2367" s="256"/>
      <c r="F2367" s="254"/>
      <c r="G2367" s="254"/>
      <c r="H2367" s="254"/>
      <c r="I2367" s="228"/>
      <c r="J2367" s="228"/>
      <c r="K2367" s="228"/>
      <c r="L2367"/>
      <c r="M2367"/>
    </row>
    <row r="2368" spans="1:13" s="125" customFormat="1" x14ac:dyDescent="0.25">
      <c r="A2368" s="251"/>
      <c r="B2368" s="256"/>
      <c r="C2368" s="256"/>
      <c r="D2368" s="256"/>
      <c r="E2368" s="256"/>
      <c r="F2368" s="254"/>
      <c r="G2368" s="254"/>
      <c r="H2368" s="254"/>
      <c r="I2368" s="228"/>
      <c r="J2368" s="228"/>
      <c r="K2368" s="228"/>
      <c r="L2368"/>
      <c r="M2368"/>
    </row>
    <row r="2369" spans="1:13" s="125" customFormat="1" x14ac:dyDescent="0.25">
      <c r="A2369" s="251"/>
      <c r="B2369" s="256"/>
      <c r="C2369" s="256"/>
      <c r="D2369" s="256"/>
      <c r="E2369" s="256"/>
      <c r="F2369" s="254"/>
      <c r="G2369" s="254"/>
      <c r="H2369" s="254"/>
      <c r="I2369" s="228"/>
      <c r="J2369" s="228"/>
      <c r="K2369" s="228"/>
      <c r="L2369"/>
      <c r="M2369"/>
    </row>
    <row r="2370" spans="1:13" s="125" customFormat="1" x14ac:dyDescent="0.25">
      <c r="A2370" s="251"/>
      <c r="B2370" s="256"/>
      <c r="C2370" s="256"/>
      <c r="D2370" s="256"/>
      <c r="E2370" s="256"/>
      <c r="F2370" s="254"/>
      <c r="G2370" s="254"/>
      <c r="H2370" s="254"/>
      <c r="I2370" s="228"/>
      <c r="J2370" s="228"/>
      <c r="K2370" s="228"/>
      <c r="L2370"/>
      <c r="M2370"/>
    </row>
    <row r="2371" spans="1:13" s="125" customFormat="1" x14ac:dyDescent="0.25">
      <c r="A2371" s="251"/>
      <c r="B2371" s="256"/>
      <c r="C2371" s="256"/>
      <c r="D2371" s="256"/>
      <c r="E2371" s="256"/>
      <c r="F2371" s="254"/>
      <c r="G2371" s="254"/>
      <c r="H2371" s="254"/>
      <c r="I2371" s="228"/>
      <c r="J2371" s="228"/>
      <c r="K2371" s="228"/>
      <c r="L2371"/>
      <c r="M2371"/>
    </row>
    <row r="2372" spans="1:13" s="125" customFormat="1" x14ac:dyDescent="0.25">
      <c r="A2372" s="251"/>
      <c r="B2372" s="256"/>
      <c r="C2372" s="256"/>
      <c r="D2372" s="256"/>
      <c r="E2372" s="256"/>
      <c r="F2372" s="254"/>
      <c r="G2372" s="254"/>
      <c r="H2372" s="254"/>
      <c r="I2372" s="228"/>
      <c r="J2372" s="228"/>
      <c r="K2372" s="228"/>
      <c r="L2372"/>
      <c r="M2372"/>
    </row>
    <row r="2373" spans="1:13" s="125" customFormat="1" x14ac:dyDescent="0.25">
      <c r="A2373" s="251"/>
      <c r="B2373" s="256"/>
      <c r="C2373" s="256"/>
      <c r="D2373" s="256"/>
      <c r="E2373" s="256"/>
      <c r="F2373" s="254"/>
      <c r="G2373" s="254"/>
      <c r="H2373" s="254"/>
      <c r="I2373" s="228"/>
      <c r="J2373" s="228"/>
      <c r="K2373" s="228"/>
      <c r="L2373"/>
      <c r="M2373"/>
    </row>
    <row r="2374" spans="1:13" s="125" customFormat="1" x14ac:dyDescent="0.25">
      <c r="A2374" s="251"/>
      <c r="B2374" s="256"/>
      <c r="C2374" s="256"/>
      <c r="D2374" s="256"/>
      <c r="E2374" s="256"/>
      <c r="F2374" s="254"/>
      <c r="G2374" s="254"/>
      <c r="H2374" s="254"/>
      <c r="I2374" s="228"/>
      <c r="J2374" s="228"/>
      <c r="K2374" s="228"/>
      <c r="L2374"/>
      <c r="M2374"/>
    </row>
    <row r="2375" spans="1:13" s="125" customFormat="1" x14ac:dyDescent="0.25">
      <c r="A2375" s="251"/>
      <c r="B2375" s="256"/>
      <c r="C2375" s="256"/>
      <c r="D2375" s="256"/>
      <c r="E2375" s="256"/>
      <c r="F2375" s="254"/>
      <c r="G2375" s="254"/>
      <c r="H2375" s="254"/>
      <c r="I2375" s="228"/>
      <c r="J2375" s="228"/>
      <c r="K2375" s="228"/>
      <c r="L2375"/>
      <c r="M2375"/>
    </row>
    <row r="2376" spans="1:13" s="125" customFormat="1" x14ac:dyDescent="0.25">
      <c r="A2376" s="251"/>
      <c r="B2376" s="256"/>
      <c r="C2376" s="256"/>
      <c r="D2376" s="256"/>
      <c r="E2376" s="256"/>
      <c r="F2376" s="254"/>
      <c r="G2376" s="254"/>
      <c r="H2376" s="254"/>
      <c r="I2376" s="228"/>
      <c r="J2376" s="228"/>
      <c r="K2376" s="228"/>
      <c r="L2376"/>
      <c r="M2376"/>
    </row>
    <row r="2377" spans="1:13" s="125" customFormat="1" x14ac:dyDescent="0.25">
      <c r="A2377" s="251"/>
      <c r="B2377" s="256"/>
      <c r="C2377" s="256"/>
      <c r="D2377" s="256"/>
      <c r="E2377" s="256"/>
      <c r="F2377" s="254"/>
      <c r="G2377" s="254"/>
      <c r="H2377" s="254"/>
      <c r="I2377" s="228"/>
      <c r="J2377" s="228"/>
      <c r="K2377" s="228"/>
      <c r="L2377"/>
      <c r="M2377"/>
    </row>
    <row r="2378" spans="1:13" s="125" customFormat="1" x14ac:dyDescent="0.25">
      <c r="A2378" s="251"/>
      <c r="B2378" s="256"/>
      <c r="C2378" s="256"/>
      <c r="D2378" s="256"/>
      <c r="E2378" s="256"/>
      <c r="F2378" s="254"/>
      <c r="G2378" s="254"/>
      <c r="H2378" s="254"/>
      <c r="I2378" s="228"/>
      <c r="J2378" s="228"/>
      <c r="K2378" s="228"/>
      <c r="L2378"/>
      <c r="M2378"/>
    </row>
    <row r="2379" spans="1:13" s="125" customFormat="1" x14ac:dyDescent="0.25">
      <c r="A2379" s="251"/>
      <c r="B2379" s="256"/>
      <c r="C2379" s="256"/>
      <c r="D2379" s="256"/>
      <c r="E2379" s="256"/>
      <c r="F2379" s="254"/>
      <c r="G2379" s="254"/>
      <c r="H2379" s="254"/>
      <c r="I2379" s="228"/>
      <c r="J2379" s="228"/>
      <c r="K2379" s="228"/>
      <c r="L2379"/>
      <c r="M2379"/>
    </row>
    <row r="2380" spans="1:13" s="125" customFormat="1" x14ac:dyDescent="0.25">
      <c r="A2380" s="251"/>
      <c r="B2380" s="256"/>
      <c r="C2380" s="256"/>
      <c r="D2380" s="256"/>
      <c r="E2380" s="256"/>
      <c r="F2380" s="254"/>
      <c r="G2380" s="254"/>
      <c r="H2380" s="254"/>
      <c r="I2380" s="228"/>
      <c r="J2380" s="228"/>
      <c r="K2380" s="228"/>
      <c r="L2380"/>
      <c r="M2380"/>
    </row>
    <row r="2381" spans="1:13" s="125" customFormat="1" x14ac:dyDescent="0.25">
      <c r="A2381" s="251"/>
      <c r="B2381" s="256"/>
      <c r="C2381" s="256"/>
      <c r="D2381" s="256"/>
      <c r="E2381" s="256"/>
      <c r="F2381" s="254"/>
      <c r="G2381" s="254"/>
      <c r="H2381" s="254"/>
      <c r="I2381" s="228"/>
      <c r="J2381" s="228"/>
      <c r="K2381" s="228"/>
      <c r="L2381"/>
      <c r="M2381"/>
    </row>
    <row r="2382" spans="1:13" s="125" customFormat="1" x14ac:dyDescent="0.25">
      <c r="A2382" s="251"/>
      <c r="B2382" s="256"/>
      <c r="C2382" s="256"/>
      <c r="D2382" s="256"/>
      <c r="E2382" s="256"/>
      <c r="F2382" s="254"/>
      <c r="G2382" s="254"/>
      <c r="H2382" s="254"/>
      <c r="I2382" s="228"/>
      <c r="J2382" s="228"/>
      <c r="K2382" s="228"/>
      <c r="L2382"/>
      <c r="M2382"/>
    </row>
    <row r="2383" spans="1:13" s="125" customFormat="1" x14ac:dyDescent="0.25">
      <c r="A2383" s="251"/>
      <c r="B2383" s="256"/>
      <c r="C2383" s="256"/>
      <c r="D2383" s="256"/>
      <c r="E2383" s="256"/>
      <c r="F2383" s="254"/>
      <c r="G2383" s="254"/>
      <c r="H2383" s="254"/>
      <c r="I2383" s="228"/>
      <c r="J2383" s="228"/>
      <c r="K2383" s="228"/>
      <c r="L2383"/>
      <c r="M2383"/>
    </row>
    <row r="2384" spans="1:13" s="125" customFormat="1" x14ac:dyDescent="0.25">
      <c r="A2384" s="251"/>
      <c r="B2384" s="256"/>
      <c r="C2384" s="256"/>
      <c r="D2384" s="256"/>
      <c r="E2384" s="256"/>
      <c r="F2384" s="254"/>
      <c r="G2384" s="254"/>
      <c r="H2384" s="254"/>
      <c r="I2384" s="228"/>
      <c r="J2384" s="228"/>
      <c r="K2384" s="228"/>
      <c r="L2384"/>
      <c r="M2384"/>
    </row>
    <row r="2385" spans="1:13" s="125" customFormat="1" x14ac:dyDescent="0.25">
      <c r="A2385" s="251"/>
      <c r="B2385" s="256"/>
      <c r="C2385" s="256"/>
      <c r="D2385" s="256"/>
      <c r="E2385" s="256"/>
      <c r="F2385" s="254"/>
      <c r="G2385" s="254"/>
      <c r="H2385" s="254"/>
      <c r="I2385" s="228"/>
      <c r="J2385" s="228"/>
      <c r="K2385" s="228"/>
      <c r="L2385"/>
      <c r="M2385"/>
    </row>
    <row r="2386" spans="1:13" s="125" customFormat="1" x14ac:dyDescent="0.25">
      <c r="A2386" s="251"/>
      <c r="B2386" s="256"/>
      <c r="C2386" s="256"/>
      <c r="D2386" s="256"/>
      <c r="E2386" s="256"/>
      <c r="F2386" s="254"/>
      <c r="G2386" s="254"/>
      <c r="H2386" s="254"/>
      <c r="I2386" s="228"/>
      <c r="J2386" s="228"/>
      <c r="K2386" s="228"/>
      <c r="L2386"/>
      <c r="M2386"/>
    </row>
    <row r="2387" spans="1:13" s="125" customFormat="1" x14ac:dyDescent="0.25">
      <c r="A2387" s="251"/>
      <c r="B2387" s="256"/>
      <c r="C2387" s="256"/>
      <c r="D2387" s="256"/>
      <c r="E2387" s="256"/>
      <c r="F2387" s="254"/>
      <c r="G2387" s="254"/>
      <c r="H2387" s="254"/>
      <c r="I2387" s="228"/>
      <c r="J2387" s="228"/>
      <c r="K2387" s="228"/>
      <c r="L2387"/>
      <c r="M2387"/>
    </row>
    <row r="2388" spans="1:13" s="125" customFormat="1" x14ac:dyDescent="0.25">
      <c r="A2388" s="251"/>
      <c r="B2388" s="256"/>
      <c r="C2388" s="256"/>
      <c r="D2388" s="256"/>
      <c r="E2388" s="256"/>
      <c r="F2388" s="254"/>
      <c r="G2388" s="254"/>
      <c r="H2388" s="254"/>
      <c r="I2388" s="228"/>
      <c r="J2388" s="228"/>
      <c r="K2388" s="228"/>
      <c r="L2388"/>
      <c r="M2388"/>
    </row>
    <row r="2389" spans="1:13" s="125" customFormat="1" x14ac:dyDescent="0.25">
      <c r="A2389" s="251"/>
      <c r="B2389" s="256"/>
      <c r="C2389" s="256"/>
      <c r="D2389" s="256"/>
      <c r="E2389" s="256"/>
      <c r="F2389" s="254"/>
      <c r="G2389" s="254"/>
      <c r="H2389" s="254"/>
      <c r="I2389" s="228"/>
      <c r="J2389" s="228"/>
      <c r="K2389" s="228"/>
      <c r="L2389"/>
      <c r="M2389"/>
    </row>
    <row r="2390" spans="1:13" s="125" customFormat="1" x14ac:dyDescent="0.25">
      <c r="A2390" s="251"/>
      <c r="B2390" s="256"/>
      <c r="C2390" s="256"/>
      <c r="D2390" s="256"/>
      <c r="E2390" s="256"/>
      <c r="F2390" s="254"/>
      <c r="G2390" s="254"/>
      <c r="H2390" s="254"/>
      <c r="I2390" s="228"/>
      <c r="J2390" s="228"/>
      <c r="K2390" s="228"/>
      <c r="L2390"/>
      <c r="M2390"/>
    </row>
    <row r="2391" spans="1:13" s="125" customFormat="1" x14ac:dyDescent="0.25">
      <c r="A2391" s="251"/>
      <c r="B2391" s="256"/>
      <c r="C2391" s="256"/>
      <c r="D2391" s="256"/>
      <c r="E2391" s="256"/>
      <c r="F2391" s="254"/>
      <c r="G2391" s="254"/>
      <c r="H2391" s="254"/>
      <c r="I2391" s="228"/>
      <c r="J2391" s="228"/>
      <c r="K2391" s="228"/>
      <c r="L2391"/>
      <c r="M2391"/>
    </row>
    <row r="2392" spans="1:13" s="125" customFormat="1" x14ac:dyDescent="0.25">
      <c r="A2392" s="251"/>
      <c r="B2392" s="256"/>
      <c r="C2392" s="256"/>
      <c r="D2392" s="256"/>
      <c r="E2392" s="256"/>
      <c r="F2392" s="254"/>
      <c r="G2392" s="254"/>
      <c r="H2392" s="254"/>
      <c r="I2392" s="228"/>
      <c r="J2392" s="228"/>
      <c r="K2392" s="228"/>
      <c r="L2392"/>
      <c r="M2392"/>
    </row>
    <row r="2393" spans="1:13" s="125" customFormat="1" x14ac:dyDescent="0.25">
      <c r="A2393" s="251"/>
      <c r="B2393" s="256"/>
      <c r="C2393" s="256"/>
      <c r="D2393" s="256"/>
      <c r="E2393" s="256"/>
      <c r="F2393" s="254"/>
      <c r="G2393" s="254"/>
      <c r="H2393" s="254"/>
      <c r="I2393" s="228"/>
      <c r="J2393" s="228"/>
      <c r="K2393" s="228"/>
      <c r="L2393"/>
      <c r="M2393"/>
    </row>
    <row r="2394" spans="1:13" s="125" customFormat="1" x14ac:dyDescent="0.25">
      <c r="A2394" s="251"/>
      <c r="B2394" s="256"/>
      <c r="C2394" s="256"/>
      <c r="D2394" s="256"/>
      <c r="E2394" s="256"/>
      <c r="F2394" s="254"/>
      <c r="G2394" s="254"/>
      <c r="H2394" s="254"/>
      <c r="I2394" s="228"/>
      <c r="J2394" s="228"/>
      <c r="K2394" s="228"/>
      <c r="L2394"/>
      <c r="M2394"/>
    </row>
    <row r="2395" spans="1:13" s="125" customFormat="1" x14ac:dyDescent="0.25">
      <c r="A2395" s="251"/>
      <c r="B2395" s="256"/>
      <c r="C2395" s="256"/>
      <c r="D2395" s="256"/>
      <c r="E2395" s="256"/>
      <c r="F2395" s="254"/>
      <c r="G2395" s="254"/>
      <c r="H2395" s="254"/>
      <c r="I2395" s="228"/>
      <c r="J2395" s="228"/>
      <c r="K2395" s="228"/>
      <c r="L2395"/>
      <c r="M2395"/>
    </row>
    <row r="2396" spans="1:13" s="125" customFormat="1" x14ac:dyDescent="0.25">
      <c r="A2396" s="251"/>
      <c r="B2396" s="256"/>
      <c r="C2396" s="256"/>
      <c r="D2396" s="256"/>
      <c r="E2396" s="256"/>
      <c r="F2396" s="254"/>
      <c r="G2396" s="254"/>
      <c r="H2396" s="254"/>
      <c r="I2396" s="228"/>
      <c r="J2396" s="228"/>
      <c r="K2396" s="228"/>
      <c r="L2396"/>
      <c r="M2396"/>
    </row>
    <row r="2397" spans="1:13" s="125" customFormat="1" x14ac:dyDescent="0.25">
      <c r="A2397" s="251"/>
      <c r="B2397" s="256"/>
      <c r="C2397" s="256"/>
      <c r="D2397" s="256"/>
      <c r="E2397" s="256"/>
      <c r="F2397" s="254"/>
      <c r="G2397" s="254"/>
      <c r="H2397" s="254"/>
      <c r="I2397" s="228"/>
      <c r="J2397" s="228"/>
      <c r="K2397" s="228"/>
      <c r="L2397"/>
      <c r="M2397"/>
    </row>
    <row r="2398" spans="1:13" s="125" customFormat="1" x14ac:dyDescent="0.25">
      <c r="A2398" s="251"/>
      <c r="B2398" s="256"/>
      <c r="C2398" s="256"/>
      <c r="D2398" s="256"/>
      <c r="E2398" s="256"/>
      <c r="F2398" s="254"/>
      <c r="G2398" s="254"/>
      <c r="H2398" s="254"/>
      <c r="I2398" s="228"/>
      <c r="J2398" s="228"/>
      <c r="K2398" s="228"/>
      <c r="L2398"/>
      <c r="M2398"/>
    </row>
    <row r="2399" spans="1:13" s="125" customFormat="1" x14ac:dyDescent="0.25">
      <c r="A2399" s="251"/>
      <c r="B2399" s="256"/>
      <c r="C2399" s="256"/>
      <c r="D2399" s="256"/>
      <c r="E2399" s="256"/>
      <c r="F2399" s="254"/>
      <c r="G2399" s="254"/>
      <c r="H2399" s="254"/>
      <c r="I2399" s="228"/>
      <c r="J2399" s="228"/>
      <c r="K2399" s="228"/>
      <c r="L2399"/>
      <c r="M2399"/>
    </row>
    <row r="2400" spans="1:13" s="125" customFormat="1" x14ac:dyDescent="0.25">
      <c r="A2400" s="251"/>
      <c r="B2400" s="256"/>
      <c r="C2400" s="256"/>
      <c r="D2400" s="256"/>
      <c r="E2400" s="256"/>
      <c r="F2400" s="254"/>
      <c r="G2400" s="254"/>
      <c r="H2400" s="254"/>
      <c r="I2400" s="228"/>
      <c r="J2400" s="228"/>
      <c r="K2400" s="228"/>
      <c r="L2400"/>
      <c r="M2400"/>
    </row>
    <row r="2401" spans="1:13" s="125" customFormat="1" x14ac:dyDescent="0.25">
      <c r="A2401" s="251"/>
      <c r="B2401" s="256"/>
      <c r="C2401" s="256"/>
      <c r="D2401" s="256"/>
      <c r="E2401" s="256"/>
      <c r="F2401" s="254"/>
      <c r="G2401" s="254"/>
      <c r="H2401" s="254"/>
      <c r="I2401" s="228"/>
      <c r="J2401" s="228"/>
      <c r="K2401" s="228"/>
      <c r="L2401"/>
      <c r="M2401"/>
    </row>
    <row r="2402" spans="1:13" s="125" customFormat="1" x14ac:dyDescent="0.25">
      <c r="A2402" s="251"/>
      <c r="B2402" s="256"/>
      <c r="C2402" s="256"/>
      <c r="D2402" s="256"/>
      <c r="E2402" s="256"/>
      <c r="F2402" s="254"/>
      <c r="G2402" s="254"/>
      <c r="H2402" s="254"/>
      <c r="I2402" s="228"/>
      <c r="J2402" s="228"/>
      <c r="K2402" s="228"/>
      <c r="L2402"/>
      <c r="M2402"/>
    </row>
    <row r="2403" spans="1:13" s="125" customFormat="1" x14ac:dyDescent="0.25">
      <c r="A2403" s="251"/>
      <c r="B2403" s="256"/>
      <c r="C2403" s="256"/>
      <c r="D2403" s="256"/>
      <c r="E2403" s="256"/>
      <c r="F2403" s="254"/>
      <c r="G2403" s="254"/>
      <c r="H2403" s="254"/>
      <c r="I2403" s="228"/>
      <c r="J2403" s="228"/>
      <c r="K2403" s="228"/>
      <c r="L2403"/>
      <c r="M2403"/>
    </row>
    <row r="2404" spans="1:13" s="125" customFormat="1" x14ac:dyDescent="0.25">
      <c r="A2404" s="251"/>
      <c r="B2404" s="256"/>
      <c r="C2404" s="256"/>
      <c r="D2404" s="256"/>
      <c r="E2404" s="256"/>
      <c r="F2404" s="254"/>
      <c r="G2404" s="254"/>
      <c r="H2404" s="254"/>
      <c r="I2404" s="228"/>
      <c r="J2404" s="228"/>
      <c r="K2404" s="228"/>
      <c r="L2404"/>
      <c r="M2404"/>
    </row>
    <row r="2405" spans="1:13" s="125" customFormat="1" x14ac:dyDescent="0.25">
      <c r="A2405" s="251"/>
      <c r="B2405" s="256"/>
      <c r="C2405" s="256"/>
      <c r="D2405" s="256"/>
      <c r="E2405" s="256"/>
      <c r="F2405" s="254"/>
      <c r="G2405" s="254"/>
      <c r="H2405" s="254"/>
      <c r="I2405" s="228"/>
      <c r="J2405" s="228"/>
      <c r="K2405" s="228"/>
      <c r="L2405"/>
      <c r="M2405"/>
    </row>
    <row r="2406" spans="1:13" s="125" customFormat="1" x14ac:dyDescent="0.25">
      <c r="A2406" s="251"/>
      <c r="B2406" s="256"/>
      <c r="C2406" s="256"/>
      <c r="D2406" s="256"/>
      <c r="E2406" s="256"/>
      <c r="F2406" s="254"/>
      <c r="G2406" s="254"/>
      <c r="H2406" s="254"/>
      <c r="I2406" s="228"/>
      <c r="J2406" s="228"/>
      <c r="K2406" s="228"/>
      <c r="L2406"/>
      <c r="M2406"/>
    </row>
    <row r="2407" spans="1:13" s="125" customFormat="1" x14ac:dyDescent="0.25">
      <c r="A2407" s="251"/>
      <c r="B2407" s="256"/>
      <c r="C2407" s="256"/>
      <c r="D2407" s="256"/>
      <c r="E2407" s="256"/>
      <c r="F2407" s="254"/>
      <c r="G2407" s="254"/>
      <c r="H2407" s="254"/>
      <c r="I2407" s="228"/>
      <c r="J2407" s="228"/>
      <c r="K2407" s="228"/>
      <c r="L2407"/>
      <c r="M2407"/>
    </row>
    <row r="2408" spans="1:13" s="125" customFormat="1" x14ac:dyDescent="0.25">
      <c r="A2408" s="251"/>
      <c r="B2408" s="256"/>
      <c r="C2408" s="256"/>
      <c r="D2408" s="256"/>
      <c r="E2408" s="256"/>
      <c r="F2408" s="254"/>
      <c r="G2408" s="254"/>
      <c r="H2408" s="254"/>
      <c r="I2408" s="228"/>
      <c r="J2408" s="228"/>
      <c r="K2408" s="228"/>
      <c r="L2408"/>
      <c r="M2408"/>
    </row>
    <row r="2409" spans="1:13" s="125" customFormat="1" x14ac:dyDescent="0.25">
      <c r="A2409" s="251"/>
      <c r="B2409" s="256"/>
      <c r="C2409" s="256"/>
      <c r="D2409" s="256"/>
      <c r="E2409" s="256"/>
      <c r="F2409" s="254"/>
      <c r="G2409" s="254"/>
      <c r="H2409" s="254"/>
      <c r="I2409" s="228"/>
      <c r="J2409" s="228"/>
      <c r="K2409" s="228"/>
      <c r="L2409"/>
      <c r="M2409"/>
    </row>
    <row r="2410" spans="1:13" s="125" customFormat="1" x14ac:dyDescent="0.25">
      <c r="A2410" s="251"/>
      <c r="B2410" s="256"/>
      <c r="C2410" s="256"/>
      <c r="D2410" s="256"/>
      <c r="E2410" s="256"/>
      <c r="F2410" s="254"/>
      <c r="G2410" s="254"/>
      <c r="H2410" s="254"/>
      <c r="I2410" s="228"/>
      <c r="J2410" s="228"/>
      <c r="K2410" s="228"/>
      <c r="L2410"/>
      <c r="M2410"/>
    </row>
    <row r="2411" spans="1:13" s="125" customFormat="1" x14ac:dyDescent="0.25">
      <c r="A2411" s="251"/>
      <c r="B2411" s="256"/>
      <c r="C2411" s="256"/>
      <c r="D2411" s="256"/>
      <c r="E2411" s="256"/>
      <c r="F2411" s="254"/>
      <c r="G2411" s="254"/>
      <c r="H2411" s="254"/>
      <c r="I2411" s="228"/>
      <c r="J2411" s="228"/>
      <c r="K2411" s="228"/>
      <c r="L2411"/>
      <c r="M2411"/>
    </row>
    <row r="2412" spans="1:13" s="125" customFormat="1" x14ac:dyDescent="0.25">
      <c r="A2412" s="251"/>
      <c r="B2412" s="256"/>
      <c r="C2412" s="256"/>
      <c r="D2412" s="256"/>
      <c r="E2412" s="256"/>
      <c r="F2412" s="254"/>
      <c r="G2412" s="254"/>
      <c r="H2412" s="254"/>
      <c r="I2412" s="228"/>
      <c r="J2412" s="228"/>
      <c r="K2412" s="228"/>
      <c r="L2412"/>
      <c r="M2412"/>
    </row>
    <row r="2413" spans="1:13" s="125" customFormat="1" x14ac:dyDescent="0.25">
      <c r="A2413" s="251"/>
      <c r="B2413" s="256"/>
      <c r="C2413" s="256"/>
      <c r="D2413" s="256"/>
      <c r="E2413" s="256"/>
      <c r="F2413" s="254"/>
      <c r="G2413" s="254"/>
      <c r="H2413" s="254"/>
      <c r="I2413" s="228"/>
      <c r="J2413" s="228"/>
      <c r="K2413" s="228"/>
      <c r="L2413"/>
      <c r="M2413"/>
    </row>
    <row r="2414" spans="1:13" s="125" customFormat="1" x14ac:dyDescent="0.25">
      <c r="A2414" s="251"/>
      <c r="B2414" s="256"/>
      <c r="C2414" s="256"/>
      <c r="D2414" s="256"/>
      <c r="E2414" s="256"/>
      <c r="F2414" s="254"/>
      <c r="G2414" s="254"/>
      <c r="H2414" s="254"/>
      <c r="I2414" s="228"/>
      <c r="J2414" s="228"/>
      <c r="K2414" s="228"/>
      <c r="L2414"/>
      <c r="M2414"/>
    </row>
    <row r="2415" spans="1:13" s="125" customFormat="1" x14ac:dyDescent="0.25">
      <c r="A2415" s="251"/>
      <c r="B2415" s="256"/>
      <c r="C2415" s="256"/>
      <c r="D2415" s="256"/>
      <c r="E2415" s="256"/>
      <c r="F2415" s="254"/>
      <c r="G2415" s="254"/>
      <c r="H2415" s="254"/>
      <c r="I2415" s="228"/>
      <c r="J2415" s="228"/>
      <c r="K2415" s="228"/>
      <c r="L2415"/>
      <c r="M2415"/>
    </row>
    <row r="2416" spans="1:13" s="125" customFormat="1" x14ac:dyDescent="0.25">
      <c r="A2416" s="251"/>
      <c r="B2416" s="256"/>
      <c r="C2416" s="256"/>
      <c r="D2416" s="256"/>
      <c r="E2416" s="256"/>
      <c r="F2416" s="254"/>
      <c r="G2416" s="254"/>
      <c r="H2416" s="254"/>
      <c r="I2416" s="228"/>
      <c r="J2416" s="228"/>
      <c r="K2416" s="228"/>
      <c r="L2416"/>
      <c r="M2416"/>
    </row>
    <row r="2417" spans="1:13" s="125" customFormat="1" x14ac:dyDescent="0.25">
      <c r="A2417" s="251"/>
      <c r="B2417" s="256"/>
      <c r="C2417" s="256"/>
      <c r="D2417" s="256"/>
      <c r="E2417" s="256"/>
      <c r="F2417" s="254"/>
      <c r="G2417" s="254"/>
      <c r="H2417" s="254"/>
      <c r="I2417" s="228"/>
      <c r="J2417" s="228"/>
      <c r="K2417" s="228"/>
      <c r="L2417"/>
      <c r="M2417"/>
    </row>
    <row r="2418" spans="1:13" s="125" customFormat="1" x14ac:dyDescent="0.25">
      <c r="A2418" s="251"/>
      <c r="B2418" s="256"/>
      <c r="C2418" s="256"/>
      <c r="D2418" s="256"/>
      <c r="E2418" s="256"/>
      <c r="F2418" s="254"/>
      <c r="G2418" s="254"/>
      <c r="H2418" s="254"/>
      <c r="I2418" s="228"/>
      <c r="J2418" s="228"/>
      <c r="K2418" s="228"/>
      <c r="L2418"/>
      <c r="M2418"/>
    </row>
    <row r="2419" spans="1:13" s="125" customFormat="1" x14ac:dyDescent="0.25">
      <c r="A2419" s="251"/>
      <c r="B2419" s="256"/>
      <c r="C2419" s="256"/>
      <c r="D2419" s="256"/>
      <c r="E2419" s="256"/>
      <c r="F2419" s="254"/>
      <c r="G2419" s="254"/>
      <c r="H2419" s="254"/>
      <c r="I2419" s="228"/>
      <c r="J2419" s="228"/>
      <c r="K2419" s="228"/>
      <c r="L2419"/>
      <c r="M2419"/>
    </row>
    <row r="2420" spans="1:13" s="125" customFormat="1" x14ac:dyDescent="0.25">
      <c r="A2420" s="251"/>
      <c r="B2420" s="256"/>
      <c r="C2420" s="256"/>
      <c r="D2420" s="256"/>
      <c r="E2420" s="256"/>
      <c r="F2420" s="254"/>
      <c r="G2420" s="254"/>
      <c r="H2420" s="254"/>
      <c r="I2420" s="228"/>
      <c r="J2420" s="228"/>
      <c r="K2420" s="228"/>
      <c r="L2420"/>
      <c r="M2420"/>
    </row>
    <row r="2421" spans="1:13" s="125" customFormat="1" x14ac:dyDescent="0.25">
      <c r="A2421" s="251"/>
      <c r="B2421" s="256"/>
      <c r="C2421" s="256"/>
      <c r="D2421" s="256"/>
      <c r="E2421" s="256"/>
      <c r="F2421" s="254"/>
      <c r="G2421" s="254"/>
      <c r="H2421" s="254"/>
      <c r="I2421" s="228"/>
      <c r="J2421" s="228"/>
      <c r="K2421" s="228"/>
      <c r="L2421"/>
      <c r="M2421"/>
    </row>
    <row r="2422" spans="1:13" s="125" customFormat="1" x14ac:dyDescent="0.25">
      <c r="A2422" s="251"/>
      <c r="B2422" s="256"/>
      <c r="C2422" s="256"/>
      <c r="D2422" s="256"/>
      <c r="E2422" s="256"/>
      <c r="F2422" s="254"/>
      <c r="G2422" s="254"/>
      <c r="H2422" s="254"/>
      <c r="I2422" s="228"/>
      <c r="J2422" s="228"/>
      <c r="K2422" s="228"/>
      <c r="L2422"/>
      <c r="M2422"/>
    </row>
    <row r="2423" spans="1:13" s="125" customFormat="1" x14ac:dyDescent="0.25">
      <c r="A2423" s="251"/>
      <c r="B2423" s="256"/>
      <c r="C2423" s="256"/>
      <c r="D2423" s="256"/>
      <c r="E2423" s="256"/>
      <c r="F2423" s="254"/>
      <c r="G2423" s="254"/>
      <c r="H2423" s="254"/>
      <c r="I2423" s="228"/>
      <c r="J2423" s="228"/>
      <c r="K2423" s="228"/>
      <c r="L2423"/>
      <c r="M2423"/>
    </row>
    <row r="2424" spans="1:13" s="125" customFormat="1" x14ac:dyDescent="0.25">
      <c r="A2424" s="251"/>
      <c r="B2424" s="256"/>
      <c r="C2424" s="256"/>
      <c r="D2424" s="256"/>
      <c r="E2424" s="256"/>
      <c r="F2424" s="254"/>
      <c r="G2424" s="254"/>
      <c r="H2424" s="254"/>
      <c r="I2424" s="228"/>
      <c r="J2424" s="228"/>
      <c r="K2424" s="228"/>
      <c r="L2424"/>
      <c r="M2424"/>
    </row>
    <row r="2425" spans="1:13" s="125" customFormat="1" x14ac:dyDescent="0.25">
      <c r="A2425" s="251"/>
      <c r="B2425" s="256"/>
      <c r="C2425" s="256"/>
      <c r="D2425" s="256"/>
      <c r="E2425" s="256"/>
      <c r="F2425" s="254"/>
      <c r="G2425" s="254"/>
      <c r="H2425" s="254"/>
      <c r="I2425" s="228"/>
      <c r="J2425" s="228"/>
      <c r="K2425" s="228"/>
      <c r="L2425"/>
      <c r="M2425"/>
    </row>
    <row r="2426" spans="1:13" s="125" customFormat="1" x14ac:dyDescent="0.25">
      <c r="A2426" s="251"/>
      <c r="B2426" s="256"/>
      <c r="C2426" s="256"/>
      <c r="D2426" s="256"/>
      <c r="E2426" s="256"/>
      <c r="F2426" s="254"/>
      <c r="G2426" s="254"/>
      <c r="H2426" s="254"/>
      <c r="I2426" s="228"/>
      <c r="J2426" s="228"/>
      <c r="K2426" s="228"/>
      <c r="L2426"/>
      <c r="M2426"/>
    </row>
    <row r="2427" spans="1:13" s="125" customFormat="1" x14ac:dyDescent="0.25">
      <c r="A2427" s="251"/>
      <c r="B2427" s="256"/>
      <c r="C2427" s="256"/>
      <c r="D2427" s="256"/>
      <c r="E2427" s="256"/>
      <c r="F2427" s="254"/>
      <c r="G2427" s="254"/>
      <c r="H2427" s="254"/>
      <c r="I2427" s="228"/>
      <c r="J2427" s="228"/>
      <c r="K2427" s="228"/>
      <c r="L2427"/>
      <c r="M2427"/>
    </row>
    <row r="2428" spans="1:13" s="125" customFormat="1" x14ac:dyDescent="0.25">
      <c r="A2428" s="251"/>
      <c r="B2428" s="256"/>
      <c r="C2428" s="256"/>
      <c r="D2428" s="256"/>
      <c r="E2428" s="256"/>
      <c r="F2428" s="254"/>
      <c r="G2428" s="254"/>
      <c r="H2428" s="254"/>
      <c r="I2428" s="228"/>
      <c r="J2428" s="228"/>
      <c r="K2428" s="228"/>
      <c r="L2428"/>
      <c r="M2428"/>
    </row>
    <row r="2429" spans="1:13" s="125" customFormat="1" x14ac:dyDescent="0.25">
      <c r="A2429" s="251"/>
      <c r="B2429" s="256"/>
      <c r="C2429" s="256"/>
      <c r="D2429" s="256"/>
      <c r="E2429" s="256"/>
      <c r="F2429" s="254"/>
      <c r="G2429" s="254"/>
      <c r="H2429" s="254"/>
      <c r="I2429" s="228"/>
      <c r="J2429" s="228"/>
      <c r="K2429" s="228"/>
      <c r="L2429"/>
      <c r="M2429"/>
    </row>
    <row r="2430" spans="1:13" s="125" customFormat="1" x14ac:dyDescent="0.25">
      <c r="A2430" s="251"/>
      <c r="B2430" s="256"/>
      <c r="C2430" s="256"/>
      <c r="D2430" s="256"/>
      <c r="E2430" s="256"/>
      <c r="F2430" s="254"/>
      <c r="G2430" s="254"/>
      <c r="H2430" s="254"/>
      <c r="I2430" s="228"/>
      <c r="J2430" s="228"/>
      <c r="K2430" s="228"/>
      <c r="L2430"/>
      <c r="M2430"/>
    </row>
    <row r="2431" spans="1:13" s="125" customFormat="1" x14ac:dyDescent="0.25">
      <c r="A2431" s="251"/>
      <c r="B2431" s="256"/>
      <c r="C2431" s="256"/>
      <c r="D2431" s="256"/>
      <c r="E2431" s="256"/>
      <c r="F2431" s="254"/>
      <c r="G2431" s="254"/>
      <c r="H2431" s="254"/>
      <c r="I2431" s="228"/>
      <c r="J2431" s="228"/>
      <c r="K2431" s="228"/>
      <c r="L2431"/>
      <c r="M2431"/>
    </row>
    <row r="2432" spans="1:13" s="125" customFormat="1" x14ac:dyDescent="0.25">
      <c r="A2432" s="251"/>
      <c r="B2432" s="256"/>
      <c r="C2432" s="256"/>
      <c r="D2432" s="256"/>
      <c r="E2432" s="256"/>
      <c r="F2432" s="254"/>
      <c r="G2432" s="254"/>
      <c r="H2432" s="254"/>
      <c r="I2432" s="228"/>
      <c r="J2432" s="228"/>
      <c r="K2432" s="228"/>
      <c r="L2432"/>
      <c r="M2432"/>
    </row>
    <row r="2433" spans="1:13" s="125" customFormat="1" x14ac:dyDescent="0.25">
      <c r="A2433" s="251"/>
      <c r="B2433" s="256"/>
      <c r="C2433" s="256"/>
      <c r="D2433" s="256"/>
      <c r="E2433" s="256"/>
      <c r="F2433" s="254"/>
      <c r="G2433" s="254"/>
      <c r="H2433" s="254"/>
      <c r="I2433" s="228"/>
      <c r="J2433" s="228"/>
      <c r="K2433" s="228"/>
      <c r="L2433"/>
      <c r="M2433"/>
    </row>
    <row r="2434" spans="1:13" s="125" customFormat="1" x14ac:dyDescent="0.25">
      <c r="A2434" s="251"/>
      <c r="B2434" s="256"/>
      <c r="C2434" s="256"/>
      <c r="D2434" s="256"/>
      <c r="E2434" s="256"/>
      <c r="F2434" s="254"/>
      <c r="G2434" s="254"/>
      <c r="H2434" s="254"/>
      <c r="I2434" s="228"/>
      <c r="J2434" s="228"/>
      <c r="K2434" s="228"/>
      <c r="L2434"/>
      <c r="M2434"/>
    </row>
    <row r="2435" spans="1:13" s="125" customFormat="1" x14ac:dyDescent="0.25">
      <c r="A2435" s="251"/>
      <c r="B2435" s="256"/>
      <c r="C2435" s="256"/>
      <c r="D2435" s="256"/>
      <c r="E2435" s="256"/>
      <c r="F2435" s="254"/>
      <c r="G2435" s="254"/>
      <c r="H2435" s="254"/>
      <c r="I2435" s="228"/>
      <c r="J2435" s="228"/>
      <c r="K2435" s="228"/>
      <c r="L2435"/>
      <c r="M2435"/>
    </row>
    <row r="2436" spans="1:13" s="125" customFormat="1" x14ac:dyDescent="0.25">
      <c r="A2436" s="251"/>
      <c r="B2436" s="256"/>
      <c r="C2436" s="256"/>
      <c r="D2436" s="256"/>
      <c r="E2436" s="256"/>
      <c r="F2436" s="254"/>
      <c r="G2436" s="254"/>
      <c r="H2436" s="254"/>
      <c r="I2436" s="228"/>
      <c r="J2436" s="228"/>
      <c r="K2436" s="228"/>
      <c r="L2436"/>
      <c r="M2436"/>
    </row>
    <row r="2437" spans="1:13" s="125" customFormat="1" x14ac:dyDescent="0.25">
      <c r="A2437" s="251"/>
      <c r="B2437" s="256"/>
      <c r="C2437" s="256"/>
      <c r="D2437" s="256"/>
      <c r="E2437" s="256"/>
      <c r="F2437" s="254"/>
      <c r="G2437" s="254"/>
      <c r="H2437" s="254"/>
      <c r="I2437" s="228"/>
      <c r="J2437" s="228"/>
      <c r="K2437" s="228"/>
      <c r="L2437"/>
      <c r="M2437"/>
    </row>
    <row r="2438" spans="1:13" s="125" customFormat="1" x14ac:dyDescent="0.25">
      <c r="A2438" s="251"/>
      <c r="B2438" s="256"/>
      <c r="C2438" s="256"/>
      <c r="D2438" s="256"/>
      <c r="E2438" s="256"/>
      <c r="F2438" s="254"/>
      <c r="G2438" s="254"/>
      <c r="H2438" s="254"/>
      <c r="I2438" s="228"/>
      <c r="J2438" s="228"/>
      <c r="K2438" s="228"/>
      <c r="L2438"/>
      <c r="M2438"/>
    </row>
    <row r="2439" spans="1:13" s="125" customFormat="1" x14ac:dyDescent="0.25">
      <c r="A2439" s="251"/>
      <c r="B2439" s="256"/>
      <c r="C2439" s="256"/>
      <c r="D2439" s="256"/>
      <c r="E2439" s="256"/>
      <c r="F2439" s="254"/>
      <c r="G2439" s="254"/>
      <c r="H2439" s="254"/>
      <c r="I2439" s="228"/>
      <c r="J2439" s="228"/>
      <c r="K2439" s="228"/>
      <c r="L2439"/>
      <c r="M2439"/>
    </row>
    <row r="2440" spans="1:13" s="125" customFormat="1" x14ac:dyDescent="0.25">
      <c r="A2440" s="251"/>
      <c r="B2440" s="256"/>
      <c r="C2440" s="256"/>
      <c r="D2440" s="256"/>
      <c r="E2440" s="256"/>
      <c r="F2440" s="254"/>
      <c r="G2440" s="254"/>
      <c r="H2440" s="254"/>
      <c r="I2440" s="228"/>
      <c r="J2440" s="228"/>
      <c r="K2440" s="228"/>
      <c r="L2440"/>
      <c r="M2440"/>
    </row>
    <row r="2441" spans="1:13" s="125" customFormat="1" x14ac:dyDescent="0.25">
      <c r="A2441" s="251"/>
      <c r="B2441" s="256"/>
      <c r="C2441" s="256"/>
      <c r="D2441" s="256"/>
      <c r="E2441" s="256"/>
      <c r="F2441" s="254"/>
      <c r="G2441" s="254"/>
      <c r="H2441" s="254"/>
      <c r="I2441" s="228"/>
      <c r="J2441" s="228"/>
      <c r="K2441" s="228"/>
      <c r="L2441"/>
      <c r="M2441"/>
    </row>
    <row r="2442" spans="1:13" s="125" customFormat="1" x14ac:dyDescent="0.25">
      <c r="A2442" s="251"/>
      <c r="B2442" s="256"/>
      <c r="C2442" s="256"/>
      <c r="D2442" s="256"/>
      <c r="E2442" s="256"/>
      <c r="F2442" s="254"/>
      <c r="G2442" s="254"/>
      <c r="H2442" s="254"/>
      <c r="I2442" s="228"/>
      <c r="J2442" s="228"/>
      <c r="K2442" s="228"/>
      <c r="L2442"/>
      <c r="M2442"/>
    </row>
    <row r="2443" spans="1:13" s="125" customFormat="1" x14ac:dyDescent="0.25">
      <c r="A2443" s="251"/>
      <c r="B2443" s="256"/>
      <c r="C2443" s="256"/>
      <c r="D2443" s="256"/>
      <c r="E2443" s="256"/>
      <c r="F2443" s="254"/>
      <c r="G2443" s="254"/>
      <c r="H2443" s="254"/>
      <c r="I2443" s="228"/>
      <c r="J2443" s="228"/>
      <c r="K2443" s="228"/>
      <c r="L2443"/>
      <c r="M2443"/>
    </row>
    <row r="2444" spans="1:13" s="125" customFormat="1" x14ac:dyDescent="0.25">
      <c r="A2444" s="251"/>
      <c r="B2444" s="256"/>
      <c r="C2444" s="256"/>
      <c r="D2444" s="256"/>
      <c r="E2444" s="256"/>
      <c r="F2444" s="254"/>
      <c r="G2444" s="254"/>
      <c r="H2444" s="254"/>
      <c r="I2444" s="228"/>
      <c r="J2444" s="228"/>
      <c r="K2444" s="228"/>
      <c r="L2444"/>
      <c r="M2444"/>
    </row>
    <row r="2445" spans="1:13" s="125" customFormat="1" x14ac:dyDescent="0.25">
      <c r="A2445" s="251"/>
      <c r="B2445" s="256"/>
      <c r="C2445" s="256"/>
      <c r="D2445" s="256"/>
      <c r="E2445" s="256"/>
      <c r="F2445" s="254"/>
      <c r="G2445" s="254"/>
      <c r="H2445" s="254"/>
      <c r="I2445" s="228"/>
      <c r="J2445" s="228"/>
      <c r="K2445" s="228"/>
      <c r="L2445"/>
      <c r="M2445"/>
    </row>
    <row r="2446" spans="1:13" s="125" customFormat="1" x14ac:dyDescent="0.25">
      <c r="A2446" s="251"/>
      <c r="B2446" s="256"/>
      <c r="C2446" s="256"/>
      <c r="D2446" s="256"/>
      <c r="E2446" s="256"/>
      <c r="F2446" s="254"/>
      <c r="G2446" s="254"/>
      <c r="H2446" s="254"/>
      <c r="I2446" s="228"/>
      <c r="J2446" s="228"/>
      <c r="K2446" s="228"/>
      <c r="L2446"/>
      <c r="M2446"/>
    </row>
    <row r="2447" spans="1:13" s="125" customFormat="1" x14ac:dyDescent="0.25">
      <c r="A2447" s="251"/>
      <c r="B2447" s="256"/>
      <c r="C2447" s="256"/>
      <c r="D2447" s="256"/>
      <c r="E2447" s="256"/>
      <c r="F2447" s="254"/>
      <c r="G2447" s="254"/>
      <c r="H2447" s="254"/>
      <c r="I2447" s="228"/>
      <c r="J2447" s="228"/>
      <c r="K2447" s="228"/>
      <c r="L2447"/>
      <c r="M2447"/>
    </row>
    <row r="2448" spans="1:13" s="125" customFormat="1" x14ac:dyDescent="0.25">
      <c r="A2448" s="251"/>
      <c r="B2448" s="256"/>
      <c r="C2448" s="256"/>
      <c r="D2448" s="256"/>
      <c r="E2448" s="256"/>
      <c r="F2448" s="254"/>
      <c r="G2448" s="254"/>
      <c r="H2448" s="254"/>
      <c r="I2448" s="228"/>
      <c r="J2448" s="228"/>
      <c r="K2448" s="228"/>
      <c r="L2448"/>
      <c r="M2448"/>
    </row>
    <row r="2449" spans="1:13" s="125" customFormat="1" x14ac:dyDescent="0.25">
      <c r="A2449" s="251"/>
      <c r="B2449" s="256"/>
      <c r="C2449" s="256"/>
      <c r="D2449" s="256"/>
      <c r="E2449" s="256"/>
      <c r="F2449" s="254"/>
      <c r="G2449" s="254"/>
      <c r="H2449" s="254"/>
      <c r="I2449" s="228"/>
      <c r="J2449" s="228"/>
      <c r="K2449" s="228"/>
      <c r="L2449"/>
      <c r="M2449"/>
    </row>
    <row r="2450" spans="1:13" s="125" customFormat="1" x14ac:dyDescent="0.25">
      <c r="A2450" s="251"/>
      <c r="B2450" s="256"/>
      <c r="C2450" s="256"/>
      <c r="D2450" s="256"/>
      <c r="E2450" s="256"/>
      <c r="F2450" s="254"/>
      <c r="G2450" s="254"/>
      <c r="H2450" s="254"/>
      <c r="I2450" s="228"/>
      <c r="J2450" s="228"/>
      <c r="K2450" s="228"/>
      <c r="L2450"/>
      <c r="M2450"/>
    </row>
    <row r="2451" spans="1:13" s="125" customFormat="1" x14ac:dyDescent="0.25">
      <c r="A2451" s="251"/>
      <c r="B2451" s="256"/>
      <c r="C2451" s="256"/>
      <c r="D2451" s="256"/>
      <c r="E2451" s="256"/>
      <c r="F2451" s="254"/>
      <c r="G2451" s="254"/>
      <c r="H2451" s="254"/>
      <c r="I2451" s="228"/>
      <c r="J2451" s="228"/>
      <c r="K2451" s="228"/>
      <c r="L2451"/>
      <c r="M2451"/>
    </row>
    <row r="2452" spans="1:13" s="125" customFormat="1" x14ac:dyDescent="0.25">
      <c r="A2452" s="251"/>
      <c r="B2452" s="256"/>
      <c r="C2452" s="256"/>
      <c r="D2452" s="256"/>
      <c r="E2452" s="256"/>
      <c r="F2452" s="254"/>
      <c r="G2452" s="254"/>
      <c r="H2452" s="254"/>
      <c r="I2452" s="228"/>
      <c r="J2452" s="228"/>
      <c r="K2452" s="228"/>
      <c r="L2452"/>
      <c r="M2452"/>
    </row>
    <row r="2453" spans="1:13" s="125" customFormat="1" x14ac:dyDescent="0.25">
      <c r="A2453" s="251"/>
      <c r="B2453" s="256"/>
      <c r="C2453" s="256"/>
      <c r="D2453" s="256"/>
      <c r="E2453" s="256"/>
      <c r="F2453" s="254"/>
      <c r="G2453" s="254"/>
      <c r="H2453" s="254"/>
      <c r="I2453" s="228"/>
      <c r="J2453" s="228"/>
      <c r="K2453" s="228"/>
      <c r="L2453"/>
      <c r="M2453"/>
    </row>
    <row r="2454" spans="1:13" s="125" customFormat="1" x14ac:dyDescent="0.25">
      <c r="A2454" s="251"/>
      <c r="B2454" s="256"/>
      <c r="C2454" s="256"/>
      <c r="D2454" s="256"/>
      <c r="E2454" s="256"/>
      <c r="F2454" s="254"/>
      <c r="G2454" s="254"/>
      <c r="H2454" s="254"/>
      <c r="I2454" s="228"/>
      <c r="J2454" s="228"/>
      <c r="K2454" s="228"/>
      <c r="L2454"/>
      <c r="M2454"/>
    </row>
    <row r="2455" spans="1:13" s="125" customFormat="1" x14ac:dyDescent="0.25">
      <c r="A2455" s="251"/>
      <c r="B2455" s="256"/>
      <c r="C2455" s="256"/>
      <c r="D2455" s="256"/>
      <c r="E2455" s="256"/>
      <c r="F2455" s="254"/>
      <c r="G2455" s="254"/>
      <c r="H2455" s="254"/>
      <c r="I2455" s="228"/>
      <c r="J2455" s="228"/>
      <c r="K2455" s="228"/>
      <c r="L2455"/>
      <c r="M2455"/>
    </row>
    <row r="2456" spans="1:13" s="125" customFormat="1" x14ac:dyDescent="0.25">
      <c r="A2456" s="251"/>
      <c r="B2456" s="256"/>
      <c r="C2456" s="256"/>
      <c r="D2456" s="256"/>
      <c r="E2456" s="256"/>
      <c r="F2456" s="254"/>
      <c r="G2456" s="254"/>
      <c r="H2456" s="254"/>
      <c r="I2456" s="228"/>
      <c r="J2456" s="228"/>
      <c r="K2456" s="228"/>
      <c r="L2456"/>
      <c r="M2456"/>
    </row>
    <row r="2457" spans="1:13" s="125" customFormat="1" x14ac:dyDescent="0.25">
      <c r="A2457" s="251"/>
      <c r="B2457" s="256"/>
      <c r="C2457" s="256"/>
      <c r="D2457" s="256"/>
      <c r="E2457" s="256"/>
      <c r="F2457" s="254"/>
      <c r="G2457" s="254"/>
      <c r="H2457" s="254"/>
      <c r="I2457" s="228"/>
      <c r="J2457" s="228"/>
      <c r="K2457" s="228"/>
      <c r="L2457"/>
      <c r="M2457"/>
    </row>
    <row r="2458" spans="1:13" s="125" customFormat="1" x14ac:dyDescent="0.25">
      <c r="A2458" s="251"/>
      <c r="B2458" s="256"/>
      <c r="C2458" s="256"/>
      <c r="D2458" s="256"/>
      <c r="E2458" s="256"/>
      <c r="F2458" s="254"/>
      <c r="G2458" s="254"/>
      <c r="H2458" s="254"/>
      <c r="I2458" s="228"/>
      <c r="J2458" s="228"/>
      <c r="K2458" s="228"/>
      <c r="L2458"/>
      <c r="M2458"/>
    </row>
    <row r="2459" spans="1:13" s="125" customFormat="1" x14ac:dyDescent="0.25">
      <c r="A2459" s="251"/>
      <c r="B2459" s="256"/>
      <c r="C2459" s="256"/>
      <c r="D2459" s="256"/>
      <c r="E2459" s="256"/>
      <c r="F2459" s="254"/>
      <c r="G2459" s="254"/>
      <c r="H2459" s="254"/>
      <c r="I2459" s="228"/>
      <c r="J2459" s="228"/>
      <c r="K2459" s="228"/>
      <c r="L2459"/>
      <c r="M2459"/>
    </row>
    <row r="2460" spans="1:13" s="125" customFormat="1" x14ac:dyDescent="0.25">
      <c r="A2460" s="251"/>
      <c r="B2460" s="256"/>
      <c r="C2460" s="256"/>
      <c r="D2460" s="256"/>
      <c r="E2460" s="256"/>
      <c r="F2460" s="254"/>
      <c r="G2460" s="254"/>
      <c r="H2460" s="254"/>
      <c r="I2460" s="228"/>
      <c r="J2460" s="228"/>
      <c r="K2460" s="228"/>
      <c r="L2460"/>
      <c r="M2460"/>
    </row>
    <row r="2461" spans="1:13" s="125" customFormat="1" x14ac:dyDescent="0.25">
      <c r="A2461" s="251"/>
      <c r="B2461" s="256"/>
      <c r="C2461" s="256"/>
      <c r="D2461" s="256"/>
      <c r="E2461" s="256"/>
      <c r="F2461" s="254"/>
      <c r="G2461" s="254"/>
      <c r="H2461" s="254"/>
      <c r="I2461" s="228"/>
      <c r="J2461" s="228"/>
      <c r="K2461" s="228"/>
      <c r="L2461"/>
      <c r="M2461"/>
    </row>
    <row r="2462" spans="1:13" s="125" customFormat="1" x14ac:dyDescent="0.25">
      <c r="A2462" s="251"/>
      <c r="B2462" s="256"/>
      <c r="C2462" s="256"/>
      <c r="D2462" s="256"/>
      <c r="E2462" s="256"/>
      <c r="F2462" s="254"/>
      <c r="G2462" s="254"/>
      <c r="H2462" s="254"/>
      <c r="I2462" s="228"/>
      <c r="J2462" s="228"/>
      <c r="K2462" s="228"/>
      <c r="L2462"/>
      <c r="M2462"/>
    </row>
    <row r="2463" spans="1:13" s="125" customFormat="1" x14ac:dyDescent="0.25">
      <c r="A2463" s="251"/>
      <c r="B2463" s="256"/>
      <c r="C2463" s="256"/>
      <c r="D2463" s="256"/>
      <c r="E2463" s="256"/>
      <c r="F2463" s="254"/>
      <c r="G2463" s="254"/>
      <c r="H2463" s="254"/>
      <c r="I2463" s="228"/>
      <c r="J2463" s="228"/>
      <c r="K2463" s="228"/>
      <c r="L2463"/>
      <c r="M2463"/>
    </row>
    <row r="2464" spans="1:13" s="125" customFormat="1" x14ac:dyDescent="0.25">
      <c r="A2464" s="251"/>
      <c r="B2464" s="256"/>
      <c r="C2464" s="256"/>
      <c r="D2464" s="256"/>
      <c r="E2464" s="256"/>
      <c r="F2464" s="254"/>
      <c r="G2464" s="254"/>
      <c r="H2464" s="254"/>
      <c r="I2464" s="228"/>
      <c r="J2464" s="228"/>
      <c r="K2464" s="228"/>
      <c r="L2464"/>
      <c r="M2464"/>
    </row>
    <row r="2465" spans="1:13" s="125" customFormat="1" x14ac:dyDescent="0.25">
      <c r="A2465" s="251"/>
      <c r="B2465" s="256"/>
      <c r="C2465" s="256"/>
      <c r="D2465" s="256"/>
      <c r="E2465" s="256"/>
      <c r="F2465" s="254"/>
      <c r="G2465" s="254"/>
      <c r="H2465" s="254"/>
      <c r="I2465" s="228"/>
      <c r="J2465" s="228"/>
      <c r="K2465" s="228"/>
      <c r="L2465"/>
      <c r="M2465"/>
    </row>
    <row r="2466" spans="1:13" s="125" customFormat="1" x14ac:dyDescent="0.25">
      <c r="A2466" s="251"/>
      <c r="B2466" s="256"/>
      <c r="C2466" s="256"/>
      <c r="D2466" s="256"/>
      <c r="E2466" s="256"/>
      <c r="F2466" s="254"/>
      <c r="G2466" s="254"/>
      <c r="H2466" s="254"/>
      <c r="I2466" s="228"/>
      <c r="J2466" s="228"/>
      <c r="K2466" s="228"/>
      <c r="L2466"/>
      <c r="M2466"/>
    </row>
    <row r="2467" spans="1:13" s="125" customFormat="1" x14ac:dyDescent="0.25">
      <c r="A2467" s="251"/>
      <c r="B2467" s="256"/>
      <c r="C2467" s="256"/>
      <c r="D2467" s="256"/>
      <c r="E2467" s="256"/>
      <c r="F2467" s="254"/>
      <c r="G2467" s="254"/>
      <c r="H2467" s="254"/>
      <c r="I2467" s="228"/>
      <c r="J2467" s="228"/>
      <c r="K2467" s="228"/>
      <c r="L2467"/>
      <c r="M2467"/>
    </row>
    <row r="2468" spans="1:13" s="125" customFormat="1" x14ac:dyDescent="0.25">
      <c r="A2468" s="251"/>
      <c r="B2468" s="256"/>
      <c r="C2468" s="256"/>
      <c r="D2468" s="256"/>
      <c r="E2468" s="256"/>
      <c r="F2468" s="254"/>
      <c r="G2468" s="254"/>
      <c r="H2468" s="254"/>
      <c r="I2468" s="228"/>
      <c r="J2468" s="228"/>
      <c r="K2468" s="228"/>
      <c r="L2468"/>
      <c r="M2468"/>
    </row>
    <row r="2469" spans="1:13" s="125" customFormat="1" x14ac:dyDescent="0.25">
      <c r="A2469" s="251"/>
      <c r="B2469" s="256"/>
      <c r="C2469" s="256"/>
      <c r="D2469" s="256"/>
      <c r="E2469" s="256"/>
      <c r="F2469" s="254"/>
      <c r="G2469" s="254"/>
      <c r="H2469" s="254"/>
      <c r="I2469" s="228"/>
      <c r="J2469" s="228"/>
      <c r="K2469" s="228"/>
      <c r="L2469"/>
      <c r="M2469"/>
    </row>
    <row r="2470" spans="1:13" s="125" customFormat="1" x14ac:dyDescent="0.25">
      <c r="A2470" s="251"/>
      <c r="B2470" s="256"/>
      <c r="C2470" s="256"/>
      <c r="D2470" s="256"/>
      <c r="E2470" s="256"/>
      <c r="F2470" s="254"/>
      <c r="G2470" s="254"/>
      <c r="H2470" s="254"/>
      <c r="I2470" s="228"/>
      <c r="J2470" s="228"/>
      <c r="K2470" s="228"/>
      <c r="L2470"/>
      <c r="M2470"/>
    </row>
    <row r="2471" spans="1:13" s="125" customFormat="1" x14ac:dyDescent="0.25">
      <c r="A2471" s="251"/>
      <c r="B2471" s="256"/>
      <c r="C2471" s="256"/>
      <c r="D2471" s="256"/>
      <c r="E2471" s="256"/>
      <c r="F2471" s="254"/>
      <c r="G2471" s="254"/>
      <c r="H2471" s="254"/>
      <c r="I2471" s="228"/>
      <c r="J2471" s="228"/>
      <c r="K2471" s="228"/>
      <c r="L2471"/>
      <c r="M2471"/>
    </row>
    <row r="2472" spans="1:13" s="125" customFormat="1" x14ac:dyDescent="0.25">
      <c r="A2472" s="251"/>
      <c r="B2472" s="256"/>
      <c r="C2472" s="256"/>
      <c r="D2472" s="256"/>
      <c r="E2472" s="256"/>
      <c r="F2472" s="254"/>
      <c r="G2472" s="254"/>
      <c r="H2472" s="254"/>
      <c r="I2472" s="228"/>
      <c r="J2472" s="228"/>
      <c r="K2472" s="228"/>
      <c r="L2472"/>
      <c r="M2472"/>
    </row>
    <row r="2473" spans="1:13" s="125" customFormat="1" x14ac:dyDescent="0.25">
      <c r="A2473" s="251"/>
      <c r="B2473" s="256"/>
      <c r="C2473" s="256"/>
      <c r="D2473" s="256"/>
      <c r="E2473" s="256"/>
      <c r="F2473" s="254"/>
      <c r="G2473" s="254"/>
      <c r="H2473" s="254"/>
      <c r="I2473" s="228"/>
      <c r="J2473" s="228"/>
      <c r="K2473" s="228"/>
      <c r="L2473"/>
      <c r="M2473"/>
    </row>
    <row r="2474" spans="1:13" s="125" customFormat="1" x14ac:dyDescent="0.25">
      <c r="A2474" s="251"/>
      <c r="B2474" s="256"/>
      <c r="C2474" s="256"/>
      <c r="D2474" s="256"/>
      <c r="E2474" s="256"/>
      <c r="F2474" s="254"/>
      <c r="G2474" s="254"/>
      <c r="H2474" s="254"/>
      <c r="I2474" s="228"/>
      <c r="J2474" s="228"/>
      <c r="K2474" s="228"/>
      <c r="L2474"/>
      <c r="M2474"/>
    </row>
    <row r="2475" spans="1:13" s="125" customFormat="1" x14ac:dyDescent="0.25">
      <c r="A2475" s="251"/>
      <c r="B2475" s="256"/>
      <c r="C2475" s="256"/>
      <c r="D2475" s="256"/>
      <c r="E2475" s="256"/>
      <c r="F2475" s="254"/>
      <c r="G2475" s="254"/>
      <c r="H2475" s="254"/>
      <c r="I2475" s="228"/>
      <c r="J2475" s="228"/>
      <c r="K2475" s="228"/>
      <c r="L2475"/>
      <c r="M2475"/>
    </row>
    <row r="2476" spans="1:13" s="125" customFormat="1" x14ac:dyDescent="0.25">
      <c r="A2476" s="251"/>
      <c r="B2476" s="256"/>
      <c r="C2476" s="256"/>
      <c r="D2476" s="256"/>
      <c r="E2476" s="256"/>
      <c r="F2476" s="254"/>
      <c r="G2476" s="254"/>
      <c r="H2476" s="254"/>
      <c r="I2476" s="228"/>
      <c r="J2476" s="228"/>
      <c r="K2476" s="228"/>
      <c r="L2476"/>
      <c r="M2476"/>
    </row>
    <row r="2477" spans="1:13" s="125" customFormat="1" x14ac:dyDescent="0.25">
      <c r="A2477" s="251"/>
      <c r="B2477" s="256"/>
      <c r="C2477" s="256"/>
      <c r="D2477" s="256"/>
      <c r="E2477" s="256"/>
      <c r="F2477" s="254"/>
      <c r="G2477" s="254"/>
      <c r="H2477" s="254"/>
      <c r="I2477" s="228"/>
      <c r="J2477" s="228"/>
      <c r="K2477" s="228"/>
      <c r="L2477"/>
      <c r="M2477"/>
    </row>
    <row r="2478" spans="1:13" s="125" customFormat="1" x14ac:dyDescent="0.25">
      <c r="A2478" s="251"/>
      <c r="B2478" s="256"/>
      <c r="C2478" s="256"/>
      <c r="D2478" s="256"/>
      <c r="E2478" s="256"/>
      <c r="F2478" s="254"/>
      <c r="G2478" s="254"/>
      <c r="H2478" s="254"/>
      <c r="I2478" s="228"/>
      <c r="J2478" s="228"/>
      <c r="K2478" s="228"/>
      <c r="L2478"/>
      <c r="M2478"/>
    </row>
    <row r="2479" spans="1:13" s="125" customFormat="1" x14ac:dyDescent="0.25">
      <c r="A2479" s="251"/>
      <c r="B2479" s="256"/>
      <c r="C2479" s="256"/>
      <c r="D2479" s="256"/>
      <c r="E2479" s="256"/>
      <c r="F2479" s="254"/>
      <c r="G2479" s="254"/>
      <c r="H2479" s="254"/>
      <c r="I2479" s="228"/>
      <c r="J2479" s="228"/>
      <c r="K2479" s="228"/>
      <c r="L2479"/>
      <c r="M2479"/>
    </row>
    <row r="2480" spans="1:13" s="125" customFormat="1" x14ac:dyDescent="0.25">
      <c r="A2480" s="251"/>
      <c r="B2480" s="256"/>
      <c r="C2480" s="256"/>
      <c r="D2480" s="256"/>
      <c r="E2480" s="256"/>
      <c r="F2480" s="254"/>
      <c r="G2480" s="254"/>
      <c r="H2480" s="254"/>
      <c r="I2480" s="228"/>
      <c r="J2480" s="228"/>
      <c r="K2480" s="228"/>
      <c r="L2480"/>
      <c r="M2480"/>
    </row>
    <row r="2481" spans="1:13" s="125" customFormat="1" x14ac:dyDescent="0.25">
      <c r="A2481" s="251"/>
      <c r="B2481" s="256"/>
      <c r="C2481" s="256"/>
      <c r="D2481" s="256"/>
      <c r="E2481" s="256"/>
      <c r="F2481" s="254"/>
      <c r="G2481" s="254"/>
      <c r="H2481" s="254"/>
      <c r="I2481" s="228"/>
      <c r="J2481" s="228"/>
      <c r="K2481" s="228"/>
      <c r="L2481"/>
      <c r="M2481"/>
    </row>
    <row r="2482" spans="1:13" s="125" customFormat="1" x14ac:dyDescent="0.25">
      <c r="A2482" s="251"/>
      <c r="B2482" s="256"/>
      <c r="C2482" s="256"/>
      <c r="D2482" s="256"/>
      <c r="E2482" s="256"/>
      <c r="F2482" s="254"/>
      <c r="G2482" s="254"/>
      <c r="H2482" s="254"/>
      <c r="I2482" s="228"/>
      <c r="J2482" s="228"/>
      <c r="K2482" s="228"/>
      <c r="L2482"/>
      <c r="M2482"/>
    </row>
    <row r="2483" spans="1:13" s="125" customFormat="1" x14ac:dyDescent="0.25">
      <c r="A2483" s="251"/>
      <c r="B2483" s="256"/>
      <c r="C2483" s="256"/>
      <c r="D2483" s="256"/>
      <c r="E2483" s="256"/>
      <c r="F2483" s="254"/>
      <c r="G2483" s="254"/>
      <c r="H2483" s="254"/>
      <c r="I2483" s="228"/>
      <c r="J2483" s="228"/>
      <c r="K2483" s="228"/>
      <c r="L2483"/>
      <c r="M2483"/>
    </row>
    <row r="2484" spans="1:13" s="125" customFormat="1" x14ac:dyDescent="0.25">
      <c r="A2484" s="251"/>
      <c r="B2484" s="256"/>
      <c r="C2484" s="256"/>
      <c r="D2484" s="256"/>
      <c r="E2484" s="256"/>
      <c r="F2484" s="254"/>
      <c r="G2484" s="254"/>
      <c r="H2484" s="254"/>
      <c r="I2484" s="228"/>
      <c r="J2484" s="228"/>
      <c r="K2484" s="228"/>
      <c r="L2484"/>
      <c r="M2484"/>
    </row>
    <row r="2485" spans="1:13" s="125" customFormat="1" x14ac:dyDescent="0.25">
      <c r="A2485" s="251"/>
      <c r="B2485" s="256"/>
      <c r="C2485" s="256"/>
      <c r="D2485" s="256"/>
      <c r="E2485" s="256"/>
      <c r="F2485" s="254"/>
      <c r="G2485" s="254"/>
      <c r="H2485" s="254"/>
      <c r="I2485" s="228"/>
      <c r="J2485" s="228"/>
      <c r="K2485" s="228"/>
      <c r="L2485"/>
      <c r="M2485"/>
    </row>
    <row r="2486" spans="1:13" s="125" customFormat="1" x14ac:dyDescent="0.25">
      <c r="A2486" s="251"/>
      <c r="B2486" s="256"/>
      <c r="C2486" s="256"/>
      <c r="D2486" s="256"/>
      <c r="E2486" s="256"/>
      <c r="F2486" s="254"/>
      <c r="G2486" s="254"/>
      <c r="H2486" s="254"/>
      <c r="I2486" s="228"/>
      <c r="J2486" s="228"/>
      <c r="K2486" s="228"/>
      <c r="L2486"/>
      <c r="M2486"/>
    </row>
    <row r="2487" spans="1:13" s="125" customFormat="1" x14ac:dyDescent="0.25">
      <c r="A2487" s="251"/>
      <c r="B2487" s="256"/>
      <c r="C2487" s="256"/>
      <c r="D2487" s="256"/>
      <c r="E2487" s="256"/>
      <c r="F2487" s="254"/>
      <c r="G2487" s="254"/>
      <c r="H2487" s="254"/>
      <c r="I2487" s="228"/>
      <c r="J2487" s="228"/>
      <c r="K2487" s="228"/>
      <c r="L2487"/>
      <c r="M2487"/>
    </row>
    <row r="2488" spans="1:13" s="125" customFormat="1" x14ac:dyDescent="0.25">
      <c r="A2488" s="251"/>
      <c r="B2488" s="256"/>
      <c r="C2488" s="256"/>
      <c r="D2488" s="256"/>
      <c r="E2488" s="256"/>
      <c r="F2488" s="254"/>
      <c r="G2488" s="254"/>
      <c r="H2488" s="254"/>
      <c r="I2488" s="228"/>
      <c r="J2488" s="228"/>
      <c r="K2488" s="228"/>
      <c r="L2488"/>
      <c r="M2488"/>
    </row>
    <row r="2489" spans="1:13" s="125" customFormat="1" x14ac:dyDescent="0.25">
      <c r="A2489" s="251"/>
      <c r="B2489" s="256"/>
      <c r="C2489" s="256"/>
      <c r="D2489" s="256"/>
      <c r="E2489" s="256"/>
      <c r="F2489" s="254"/>
      <c r="G2489" s="254"/>
      <c r="H2489" s="254"/>
      <c r="I2489" s="228"/>
      <c r="J2489" s="228"/>
      <c r="K2489" s="228"/>
      <c r="L2489"/>
      <c r="M2489"/>
    </row>
    <row r="2490" spans="1:13" s="125" customFormat="1" x14ac:dyDescent="0.25">
      <c r="A2490" s="251"/>
      <c r="B2490" s="256"/>
      <c r="C2490" s="256"/>
      <c r="D2490" s="256"/>
      <c r="E2490" s="256"/>
      <c r="F2490" s="254"/>
      <c r="G2490" s="254"/>
      <c r="H2490" s="254"/>
      <c r="I2490" s="228"/>
      <c r="J2490" s="228"/>
      <c r="K2490" s="228"/>
      <c r="L2490"/>
      <c r="M2490"/>
    </row>
    <row r="2491" spans="1:13" s="125" customFormat="1" x14ac:dyDescent="0.25">
      <c r="A2491" s="251"/>
      <c r="B2491" s="256"/>
      <c r="C2491" s="256"/>
      <c r="D2491" s="256"/>
      <c r="E2491" s="256"/>
      <c r="F2491" s="254"/>
      <c r="G2491" s="254"/>
      <c r="H2491" s="254"/>
      <c r="I2491" s="228"/>
      <c r="J2491" s="228"/>
      <c r="K2491" s="228"/>
      <c r="L2491"/>
      <c r="M2491"/>
    </row>
    <row r="2492" spans="1:13" s="125" customFormat="1" x14ac:dyDescent="0.25">
      <c r="A2492" s="251"/>
      <c r="B2492" s="256"/>
      <c r="C2492" s="256"/>
      <c r="D2492" s="256"/>
      <c r="E2492" s="256"/>
      <c r="F2492" s="254"/>
      <c r="G2492" s="254"/>
      <c r="H2492" s="254"/>
      <c r="I2492" s="228"/>
      <c r="J2492" s="228"/>
      <c r="K2492" s="228"/>
      <c r="L2492"/>
      <c r="M2492"/>
    </row>
    <row r="2493" spans="1:13" s="125" customFormat="1" x14ac:dyDescent="0.25">
      <c r="A2493" s="251"/>
      <c r="B2493" s="256"/>
      <c r="C2493" s="256"/>
      <c r="D2493" s="256"/>
      <c r="E2493" s="256"/>
      <c r="F2493" s="254"/>
      <c r="G2493" s="254"/>
      <c r="H2493" s="254"/>
      <c r="I2493" s="228"/>
      <c r="J2493" s="228"/>
      <c r="K2493" s="228"/>
      <c r="L2493"/>
      <c r="M2493"/>
    </row>
    <row r="2494" spans="1:13" s="125" customFormat="1" x14ac:dyDescent="0.25">
      <c r="A2494" s="251"/>
      <c r="B2494" s="256"/>
      <c r="C2494" s="256"/>
      <c r="D2494" s="256"/>
      <c r="E2494" s="256"/>
      <c r="F2494" s="254"/>
      <c r="G2494" s="254"/>
      <c r="H2494" s="254"/>
      <c r="I2494" s="228"/>
      <c r="J2494" s="228"/>
      <c r="K2494" s="228"/>
      <c r="L2494"/>
      <c r="M2494"/>
    </row>
    <row r="2495" spans="1:13" s="125" customFormat="1" x14ac:dyDescent="0.25">
      <c r="A2495" s="251"/>
      <c r="B2495" s="256"/>
      <c r="C2495" s="256"/>
      <c r="D2495" s="256"/>
      <c r="E2495" s="256"/>
      <c r="F2495" s="254"/>
      <c r="G2495" s="254"/>
      <c r="H2495" s="254"/>
      <c r="I2495" s="228"/>
      <c r="J2495" s="228"/>
      <c r="K2495" s="228"/>
      <c r="L2495"/>
      <c r="M2495"/>
    </row>
    <row r="2496" spans="1:13" s="125" customFormat="1" x14ac:dyDescent="0.25">
      <c r="A2496" s="251"/>
      <c r="B2496" s="256"/>
      <c r="C2496" s="256"/>
      <c r="D2496" s="256"/>
      <c r="E2496" s="256"/>
      <c r="F2496" s="254"/>
      <c r="G2496" s="254"/>
      <c r="H2496" s="254"/>
      <c r="I2496" s="228"/>
      <c r="J2496" s="228"/>
      <c r="K2496" s="228"/>
      <c r="L2496"/>
      <c r="M2496"/>
    </row>
    <row r="2497" spans="1:13" s="125" customFormat="1" x14ac:dyDescent="0.25">
      <c r="A2497" s="251"/>
      <c r="B2497" s="256"/>
      <c r="C2497" s="256"/>
      <c r="D2497" s="256"/>
      <c r="E2497" s="256"/>
      <c r="F2497" s="254"/>
      <c r="G2497" s="254"/>
      <c r="H2497" s="254"/>
      <c r="I2497" s="228"/>
      <c r="J2497" s="228"/>
      <c r="K2497" s="228"/>
      <c r="L2497"/>
      <c r="M2497"/>
    </row>
    <row r="2498" spans="1:13" s="125" customFormat="1" x14ac:dyDescent="0.25">
      <c r="A2498" s="251"/>
      <c r="B2498" s="256"/>
      <c r="C2498" s="256"/>
      <c r="D2498" s="256"/>
      <c r="E2498" s="256"/>
      <c r="F2498" s="254"/>
      <c r="G2498" s="254"/>
      <c r="H2498" s="254"/>
      <c r="I2498" s="228"/>
      <c r="J2498" s="228"/>
      <c r="K2498" s="228"/>
      <c r="L2498"/>
      <c r="M2498"/>
    </row>
    <row r="2499" spans="1:13" s="125" customFormat="1" x14ac:dyDescent="0.25">
      <c r="A2499" s="251"/>
      <c r="B2499" s="256"/>
      <c r="C2499" s="256"/>
      <c r="D2499" s="256"/>
      <c r="E2499" s="256"/>
      <c r="F2499" s="254"/>
      <c r="G2499" s="254"/>
      <c r="H2499" s="254"/>
      <c r="I2499" s="228"/>
      <c r="J2499" s="228"/>
      <c r="K2499" s="228"/>
      <c r="L2499"/>
      <c r="M2499"/>
    </row>
    <row r="2500" spans="1:13" s="125" customFormat="1" x14ac:dyDescent="0.25">
      <c r="A2500" s="251"/>
      <c r="B2500" s="256"/>
      <c r="C2500" s="256"/>
      <c r="D2500" s="256"/>
      <c r="E2500" s="256"/>
      <c r="F2500" s="254"/>
      <c r="G2500" s="254"/>
      <c r="H2500" s="254"/>
      <c r="I2500" s="228"/>
      <c r="J2500" s="228"/>
      <c r="K2500" s="228"/>
      <c r="L2500"/>
      <c r="M2500"/>
    </row>
    <row r="2501" spans="1:13" s="125" customFormat="1" x14ac:dyDescent="0.25">
      <c r="A2501" s="251"/>
      <c r="B2501" s="256"/>
      <c r="C2501" s="256"/>
      <c r="D2501" s="256"/>
      <c r="E2501" s="256"/>
      <c r="F2501" s="254"/>
      <c r="G2501" s="254"/>
      <c r="H2501" s="254"/>
      <c r="I2501" s="228"/>
      <c r="J2501" s="228"/>
      <c r="K2501" s="228"/>
      <c r="L2501"/>
      <c r="M2501"/>
    </row>
    <row r="2502" spans="1:13" s="125" customFormat="1" x14ac:dyDescent="0.25">
      <c r="A2502" s="251"/>
      <c r="B2502" s="256"/>
      <c r="C2502" s="256"/>
      <c r="D2502" s="256"/>
      <c r="E2502" s="256"/>
      <c r="F2502" s="254"/>
      <c r="G2502" s="254"/>
      <c r="H2502" s="254"/>
      <c r="I2502" s="228"/>
      <c r="J2502" s="228"/>
      <c r="K2502" s="228"/>
      <c r="L2502"/>
      <c r="M2502"/>
    </row>
    <row r="2503" spans="1:13" s="125" customFormat="1" x14ac:dyDescent="0.25">
      <c r="A2503" s="251"/>
      <c r="B2503" s="256"/>
      <c r="C2503" s="256"/>
      <c r="D2503" s="256"/>
      <c r="E2503" s="256"/>
      <c r="F2503" s="254"/>
      <c r="G2503" s="254"/>
      <c r="H2503" s="254"/>
      <c r="I2503" s="228"/>
      <c r="J2503" s="228"/>
      <c r="K2503" s="228"/>
      <c r="L2503"/>
      <c r="M2503"/>
    </row>
    <row r="2504" spans="1:13" s="125" customFormat="1" x14ac:dyDescent="0.25">
      <c r="A2504" s="251"/>
      <c r="B2504" s="256"/>
      <c r="C2504" s="256"/>
      <c r="D2504" s="256"/>
      <c r="E2504" s="256"/>
      <c r="F2504" s="254"/>
      <c r="G2504" s="254"/>
      <c r="H2504" s="254"/>
      <c r="I2504" s="228"/>
      <c r="J2504" s="228"/>
      <c r="K2504" s="228"/>
      <c r="L2504"/>
      <c r="M2504"/>
    </row>
    <row r="2505" spans="1:13" s="125" customFormat="1" x14ac:dyDescent="0.25">
      <c r="A2505" s="251"/>
      <c r="B2505" s="256"/>
      <c r="C2505" s="256"/>
      <c r="D2505" s="256"/>
      <c r="E2505" s="256"/>
      <c r="F2505" s="254"/>
      <c r="G2505" s="254"/>
      <c r="H2505" s="254"/>
      <c r="I2505" s="228"/>
      <c r="J2505" s="228"/>
      <c r="K2505" s="228"/>
      <c r="L2505"/>
      <c r="M2505"/>
    </row>
    <row r="2506" spans="1:13" s="125" customFormat="1" x14ac:dyDescent="0.25">
      <c r="A2506" s="251"/>
      <c r="B2506" s="256"/>
      <c r="C2506" s="256"/>
      <c r="D2506" s="256"/>
      <c r="E2506" s="256"/>
      <c r="F2506" s="254"/>
      <c r="G2506" s="254"/>
      <c r="H2506" s="254"/>
      <c r="I2506" s="228"/>
      <c r="J2506" s="228"/>
      <c r="K2506" s="228"/>
      <c r="L2506"/>
      <c r="M2506"/>
    </row>
    <row r="2507" spans="1:13" s="125" customFormat="1" x14ac:dyDescent="0.25">
      <c r="A2507" s="251"/>
      <c r="B2507" s="256"/>
      <c r="C2507" s="256"/>
      <c r="D2507" s="256"/>
      <c r="E2507" s="256"/>
      <c r="F2507" s="254"/>
      <c r="G2507" s="254"/>
      <c r="H2507" s="254"/>
      <c r="I2507" s="228"/>
      <c r="J2507" s="228"/>
      <c r="K2507" s="228"/>
      <c r="L2507"/>
      <c r="M2507"/>
    </row>
    <row r="2508" spans="1:13" s="125" customFormat="1" x14ac:dyDescent="0.25">
      <c r="A2508" s="251"/>
      <c r="B2508" s="256"/>
      <c r="C2508" s="256"/>
      <c r="D2508" s="256"/>
      <c r="E2508" s="256"/>
      <c r="F2508" s="254"/>
      <c r="G2508" s="254"/>
      <c r="H2508" s="254"/>
      <c r="I2508" s="228"/>
      <c r="J2508" s="228"/>
      <c r="K2508" s="228"/>
      <c r="L2508"/>
      <c r="M2508"/>
    </row>
    <row r="2509" spans="1:13" s="125" customFormat="1" x14ac:dyDescent="0.25">
      <c r="A2509" s="251"/>
      <c r="B2509" s="256"/>
      <c r="C2509" s="256"/>
      <c r="D2509" s="256"/>
      <c r="E2509" s="256"/>
      <c r="F2509" s="254"/>
      <c r="G2509" s="254"/>
      <c r="H2509" s="254"/>
      <c r="I2509" s="228"/>
      <c r="J2509" s="228"/>
      <c r="K2509" s="228"/>
      <c r="L2509"/>
      <c r="M2509"/>
    </row>
    <row r="2510" spans="1:13" s="125" customFormat="1" x14ac:dyDescent="0.25">
      <c r="A2510" s="251"/>
      <c r="B2510" s="256"/>
      <c r="C2510" s="256"/>
      <c r="D2510" s="256"/>
      <c r="E2510" s="256"/>
      <c r="F2510" s="254"/>
      <c r="G2510" s="254"/>
      <c r="H2510" s="254"/>
      <c r="I2510" s="228"/>
      <c r="J2510" s="228"/>
      <c r="K2510" s="228"/>
      <c r="L2510"/>
      <c r="M2510"/>
    </row>
    <row r="2511" spans="1:13" s="125" customFormat="1" x14ac:dyDescent="0.25">
      <c r="A2511" s="251"/>
      <c r="B2511" s="256"/>
      <c r="C2511" s="256"/>
      <c r="D2511" s="256"/>
      <c r="E2511" s="256"/>
      <c r="F2511" s="254"/>
      <c r="G2511" s="254"/>
      <c r="H2511" s="254"/>
      <c r="I2511" s="228"/>
      <c r="J2511" s="228"/>
      <c r="K2511" s="228"/>
      <c r="L2511"/>
      <c r="M2511"/>
    </row>
    <row r="2512" spans="1:13" s="125" customFormat="1" x14ac:dyDescent="0.25">
      <c r="A2512" s="251"/>
      <c r="B2512" s="256"/>
      <c r="C2512" s="256"/>
      <c r="D2512" s="256"/>
      <c r="E2512" s="256"/>
      <c r="F2512" s="254"/>
      <c r="G2512" s="254"/>
      <c r="H2512" s="254"/>
      <c r="I2512" s="228"/>
      <c r="J2512" s="228"/>
      <c r="K2512" s="228"/>
      <c r="L2512"/>
      <c r="M2512"/>
    </row>
    <row r="2513" spans="1:13" s="125" customFormat="1" x14ac:dyDescent="0.25">
      <c r="A2513" s="251"/>
      <c r="B2513" s="256"/>
      <c r="C2513" s="256"/>
      <c r="D2513" s="256"/>
      <c r="E2513" s="256"/>
      <c r="F2513" s="254"/>
      <c r="G2513" s="254"/>
      <c r="H2513" s="254"/>
      <c r="I2513" s="228"/>
      <c r="J2513" s="228"/>
      <c r="K2513" s="228"/>
      <c r="L2513"/>
      <c r="M2513"/>
    </row>
    <row r="2514" spans="1:13" s="125" customFormat="1" x14ac:dyDescent="0.25">
      <c r="A2514" s="251"/>
      <c r="B2514" s="256"/>
      <c r="C2514" s="256"/>
      <c r="D2514" s="256"/>
      <c r="E2514" s="256"/>
      <c r="F2514" s="254"/>
      <c r="G2514" s="254"/>
      <c r="H2514" s="254"/>
      <c r="I2514" s="228"/>
      <c r="J2514" s="228"/>
      <c r="K2514" s="228"/>
      <c r="L2514"/>
      <c r="M2514"/>
    </row>
    <row r="2515" spans="1:13" s="125" customFormat="1" x14ac:dyDescent="0.25">
      <c r="A2515" s="251"/>
      <c r="B2515" s="256"/>
      <c r="C2515" s="256"/>
      <c r="D2515" s="256"/>
      <c r="E2515" s="256"/>
      <c r="F2515" s="254"/>
      <c r="G2515" s="254"/>
      <c r="H2515" s="254"/>
      <c r="I2515" s="228"/>
      <c r="J2515" s="228"/>
      <c r="K2515" s="228"/>
      <c r="L2515"/>
      <c r="M2515"/>
    </row>
    <row r="2516" spans="1:13" s="125" customFormat="1" x14ac:dyDescent="0.25">
      <c r="A2516" s="251"/>
      <c r="B2516" s="256"/>
      <c r="C2516" s="256"/>
      <c r="D2516" s="256"/>
      <c r="E2516" s="256"/>
      <c r="F2516" s="254"/>
      <c r="G2516" s="254"/>
      <c r="H2516" s="254"/>
      <c r="I2516" s="228"/>
      <c r="J2516" s="228"/>
      <c r="K2516" s="228"/>
      <c r="L2516"/>
      <c r="M2516"/>
    </row>
    <row r="2517" spans="1:13" s="125" customFormat="1" x14ac:dyDescent="0.25">
      <c r="A2517" s="251"/>
      <c r="B2517" s="256"/>
      <c r="C2517" s="256"/>
      <c r="D2517" s="256"/>
      <c r="E2517" s="256"/>
      <c r="F2517" s="254"/>
      <c r="G2517" s="254"/>
      <c r="H2517" s="254"/>
      <c r="I2517" s="228"/>
      <c r="J2517" s="228"/>
      <c r="K2517" s="228"/>
      <c r="L2517"/>
      <c r="M2517"/>
    </row>
    <row r="2518" spans="1:13" s="125" customFormat="1" x14ac:dyDescent="0.25">
      <c r="A2518" s="251"/>
      <c r="B2518" s="256"/>
      <c r="C2518" s="256"/>
      <c r="D2518" s="256"/>
      <c r="E2518" s="256"/>
      <c r="F2518" s="254"/>
      <c r="G2518" s="254"/>
      <c r="H2518" s="254"/>
      <c r="I2518" s="228"/>
      <c r="J2518" s="228"/>
      <c r="K2518" s="228"/>
      <c r="L2518"/>
      <c r="M2518"/>
    </row>
    <row r="2519" spans="1:13" s="125" customFormat="1" x14ac:dyDescent="0.25">
      <c r="A2519" s="251"/>
      <c r="B2519" s="256"/>
      <c r="C2519" s="256"/>
      <c r="D2519" s="256"/>
      <c r="E2519" s="256"/>
      <c r="F2519" s="254"/>
      <c r="G2519" s="254"/>
      <c r="H2519" s="254"/>
      <c r="I2519" s="228"/>
      <c r="J2519" s="228"/>
      <c r="K2519" s="228"/>
      <c r="L2519"/>
      <c r="M2519"/>
    </row>
    <row r="2520" spans="1:13" s="125" customFormat="1" x14ac:dyDescent="0.25">
      <c r="A2520" s="251"/>
      <c r="B2520" s="256"/>
      <c r="C2520" s="256"/>
      <c r="D2520" s="256"/>
      <c r="E2520" s="256"/>
      <c r="F2520" s="254"/>
      <c r="G2520" s="254"/>
      <c r="H2520" s="254"/>
      <c r="I2520" s="228"/>
      <c r="J2520" s="228"/>
      <c r="K2520" s="228"/>
      <c r="L2520"/>
      <c r="M2520"/>
    </row>
    <row r="2521" spans="1:13" s="125" customFormat="1" x14ac:dyDescent="0.25">
      <c r="A2521" s="251"/>
      <c r="B2521" s="256"/>
      <c r="C2521" s="256"/>
      <c r="D2521" s="256"/>
      <c r="E2521" s="256"/>
      <c r="F2521" s="254"/>
      <c r="G2521" s="254"/>
      <c r="H2521" s="254"/>
      <c r="I2521" s="228"/>
      <c r="J2521" s="228"/>
      <c r="K2521" s="228"/>
      <c r="L2521"/>
      <c r="M2521"/>
    </row>
    <row r="2522" spans="1:13" s="125" customFormat="1" x14ac:dyDescent="0.25">
      <c r="A2522" s="251"/>
      <c r="B2522" s="256"/>
      <c r="C2522" s="256"/>
      <c r="D2522" s="256"/>
      <c r="E2522" s="256"/>
      <c r="F2522" s="254"/>
      <c r="G2522" s="254"/>
      <c r="H2522" s="254"/>
      <c r="I2522" s="228"/>
      <c r="J2522" s="228"/>
      <c r="K2522" s="228"/>
      <c r="L2522"/>
      <c r="M2522"/>
    </row>
    <row r="2523" spans="1:13" s="125" customFormat="1" x14ac:dyDescent="0.25">
      <c r="A2523" s="251"/>
      <c r="B2523" s="256"/>
      <c r="C2523" s="256"/>
      <c r="D2523" s="256"/>
      <c r="E2523" s="256"/>
      <c r="F2523" s="254"/>
      <c r="G2523" s="254"/>
      <c r="H2523" s="254"/>
      <c r="I2523" s="228"/>
      <c r="J2523" s="228"/>
      <c r="K2523" s="228"/>
      <c r="L2523"/>
      <c r="M2523"/>
    </row>
    <row r="2524" spans="1:13" s="125" customFormat="1" x14ac:dyDescent="0.25">
      <c r="A2524" s="251"/>
      <c r="B2524" s="256"/>
      <c r="C2524" s="256"/>
      <c r="D2524" s="256"/>
      <c r="E2524" s="256"/>
      <c r="F2524" s="254"/>
      <c r="G2524" s="254"/>
      <c r="H2524" s="254"/>
      <c r="I2524" s="228"/>
      <c r="J2524" s="228"/>
      <c r="K2524" s="228"/>
      <c r="L2524"/>
      <c r="M2524"/>
    </row>
    <row r="2525" spans="1:13" s="125" customFormat="1" x14ac:dyDescent="0.25">
      <c r="A2525" s="251"/>
      <c r="B2525" s="256"/>
      <c r="C2525" s="256"/>
      <c r="D2525" s="256"/>
      <c r="E2525" s="256"/>
      <c r="F2525" s="254"/>
      <c r="G2525" s="254"/>
      <c r="H2525" s="254"/>
      <c r="I2525" s="228"/>
      <c r="J2525" s="228"/>
      <c r="K2525" s="228"/>
      <c r="L2525"/>
      <c r="M2525"/>
    </row>
    <row r="2526" spans="1:13" s="125" customFormat="1" x14ac:dyDescent="0.25">
      <c r="A2526" s="251"/>
      <c r="B2526" s="256"/>
      <c r="C2526" s="256"/>
      <c r="D2526" s="256"/>
      <c r="E2526" s="256"/>
      <c r="F2526" s="254"/>
      <c r="G2526" s="254"/>
      <c r="H2526" s="254"/>
      <c r="I2526" s="228"/>
      <c r="J2526" s="228"/>
      <c r="K2526" s="228"/>
      <c r="L2526"/>
      <c r="M2526"/>
    </row>
    <row r="2527" spans="1:13" s="125" customFormat="1" x14ac:dyDescent="0.25">
      <c r="A2527" s="251"/>
      <c r="B2527" s="256"/>
      <c r="C2527" s="256"/>
      <c r="D2527" s="256"/>
      <c r="E2527" s="256"/>
      <c r="F2527" s="254"/>
      <c r="G2527" s="254"/>
      <c r="H2527" s="254"/>
      <c r="I2527" s="228"/>
      <c r="J2527" s="228"/>
      <c r="K2527" s="228"/>
      <c r="L2527"/>
      <c r="M2527"/>
    </row>
    <row r="2528" spans="1:13" s="125" customFormat="1" x14ac:dyDescent="0.25">
      <c r="A2528" s="251"/>
      <c r="B2528" s="256"/>
      <c r="C2528" s="256"/>
      <c r="D2528" s="256"/>
      <c r="E2528" s="256"/>
      <c r="F2528" s="254"/>
      <c r="G2528" s="254"/>
      <c r="H2528" s="254"/>
      <c r="I2528" s="228"/>
      <c r="J2528" s="228"/>
      <c r="K2528" s="228"/>
      <c r="L2528"/>
      <c r="M2528"/>
    </row>
    <row r="2529" spans="1:13" s="125" customFormat="1" x14ac:dyDescent="0.25">
      <c r="A2529" s="251"/>
      <c r="B2529" s="256"/>
      <c r="C2529" s="256"/>
      <c r="D2529" s="256"/>
      <c r="E2529" s="256"/>
      <c r="F2529" s="254"/>
      <c r="G2529" s="254"/>
      <c r="H2529" s="254"/>
      <c r="I2529" s="228"/>
      <c r="J2529" s="228"/>
      <c r="K2529" s="228"/>
      <c r="L2529"/>
      <c r="M2529"/>
    </row>
    <row r="2530" spans="1:13" s="125" customFormat="1" x14ac:dyDescent="0.25">
      <c r="A2530" s="251"/>
      <c r="B2530" s="256"/>
      <c r="C2530" s="256"/>
      <c r="D2530" s="256"/>
      <c r="E2530" s="256"/>
      <c r="F2530" s="254"/>
      <c r="G2530" s="254"/>
      <c r="H2530" s="254"/>
      <c r="I2530" s="228"/>
      <c r="J2530" s="228"/>
      <c r="K2530" s="228"/>
      <c r="L2530"/>
      <c r="M2530"/>
    </row>
    <row r="2531" spans="1:13" s="125" customFormat="1" x14ac:dyDescent="0.25">
      <c r="A2531" s="251"/>
      <c r="B2531" s="256"/>
      <c r="C2531" s="256"/>
      <c r="D2531" s="256"/>
      <c r="E2531" s="256"/>
      <c r="F2531" s="254"/>
      <c r="G2531" s="254"/>
      <c r="H2531" s="254"/>
      <c r="I2531" s="228"/>
      <c r="J2531" s="228"/>
      <c r="K2531" s="228"/>
      <c r="L2531"/>
      <c r="M2531"/>
    </row>
    <row r="2532" spans="1:13" s="125" customFormat="1" x14ac:dyDescent="0.25">
      <c r="A2532" s="251"/>
      <c r="B2532" s="256"/>
      <c r="C2532" s="256"/>
      <c r="D2532" s="256"/>
      <c r="E2532" s="256"/>
      <c r="F2532" s="254"/>
      <c r="G2532" s="254"/>
      <c r="H2532" s="254"/>
      <c r="I2532" s="228"/>
      <c r="J2532" s="228"/>
      <c r="K2532" s="228"/>
      <c r="L2532"/>
      <c r="M2532"/>
    </row>
    <row r="2533" spans="1:13" s="125" customFormat="1" x14ac:dyDescent="0.25">
      <c r="A2533" s="251"/>
      <c r="B2533" s="256"/>
      <c r="C2533" s="256"/>
      <c r="D2533" s="256"/>
      <c r="E2533" s="256"/>
      <c r="F2533" s="254"/>
      <c r="G2533" s="254"/>
      <c r="H2533" s="254"/>
      <c r="I2533" s="228"/>
      <c r="J2533" s="228"/>
      <c r="K2533" s="228"/>
      <c r="L2533"/>
      <c r="M2533"/>
    </row>
    <row r="2534" spans="1:13" s="125" customFormat="1" x14ac:dyDescent="0.25">
      <c r="A2534" s="251"/>
      <c r="B2534" s="256"/>
      <c r="C2534" s="256"/>
      <c r="D2534" s="256"/>
      <c r="E2534" s="256"/>
      <c r="F2534" s="254"/>
      <c r="G2534" s="254"/>
      <c r="H2534" s="254"/>
      <c r="I2534" s="228"/>
      <c r="J2534" s="228"/>
      <c r="K2534" s="228"/>
      <c r="L2534"/>
      <c r="M2534"/>
    </row>
    <row r="2535" spans="1:13" s="125" customFormat="1" x14ac:dyDescent="0.25">
      <c r="A2535" s="251"/>
      <c r="B2535" s="256"/>
      <c r="C2535" s="256"/>
      <c r="D2535" s="256"/>
      <c r="E2535" s="256"/>
      <c r="F2535" s="254"/>
      <c r="G2535" s="254"/>
      <c r="H2535" s="254"/>
      <c r="I2535" s="228"/>
      <c r="J2535" s="228"/>
      <c r="K2535" s="228"/>
      <c r="L2535"/>
      <c r="M2535"/>
    </row>
    <row r="2536" spans="1:13" s="125" customFormat="1" x14ac:dyDescent="0.25">
      <c r="A2536" s="251"/>
      <c r="B2536" s="256"/>
      <c r="C2536" s="256"/>
      <c r="D2536" s="256"/>
      <c r="E2536" s="256"/>
      <c r="F2536" s="254"/>
      <c r="G2536" s="254"/>
      <c r="H2536" s="254"/>
      <c r="I2536" s="228"/>
      <c r="J2536" s="228"/>
      <c r="K2536" s="228"/>
      <c r="L2536"/>
      <c r="M2536"/>
    </row>
    <row r="2537" spans="1:13" s="125" customFormat="1" x14ac:dyDescent="0.25">
      <c r="A2537" s="251"/>
      <c r="B2537" s="256"/>
      <c r="C2537" s="256"/>
      <c r="D2537" s="256"/>
      <c r="E2537" s="256"/>
      <c r="F2537" s="254"/>
      <c r="G2537" s="254"/>
      <c r="H2537" s="254"/>
      <c r="I2537" s="228"/>
      <c r="J2537" s="228"/>
      <c r="K2537" s="228"/>
      <c r="L2537"/>
      <c r="M2537"/>
    </row>
    <row r="2538" spans="1:13" s="125" customFormat="1" x14ac:dyDescent="0.25">
      <c r="A2538" s="251"/>
      <c r="B2538" s="256"/>
      <c r="C2538" s="256"/>
      <c r="D2538" s="256"/>
      <c r="E2538" s="256"/>
      <c r="F2538" s="254"/>
      <c r="G2538" s="254"/>
      <c r="H2538" s="254"/>
      <c r="I2538" s="228"/>
      <c r="J2538" s="228"/>
      <c r="K2538" s="228"/>
      <c r="L2538"/>
      <c r="M2538"/>
    </row>
    <row r="2539" spans="1:13" s="125" customFormat="1" x14ac:dyDescent="0.25">
      <c r="A2539" s="251"/>
      <c r="B2539" s="256"/>
      <c r="C2539" s="256"/>
      <c r="D2539" s="256"/>
      <c r="E2539" s="256"/>
      <c r="F2539" s="254"/>
      <c r="G2539" s="254"/>
      <c r="H2539" s="254"/>
      <c r="I2539" s="228"/>
      <c r="J2539" s="228"/>
      <c r="K2539" s="228"/>
      <c r="L2539"/>
      <c r="M2539"/>
    </row>
    <row r="2540" spans="1:13" s="125" customFormat="1" x14ac:dyDescent="0.25">
      <c r="A2540" s="251"/>
      <c r="B2540" s="256"/>
      <c r="C2540" s="256"/>
      <c r="D2540" s="256"/>
      <c r="E2540" s="256"/>
      <c r="F2540" s="254"/>
      <c r="G2540" s="254"/>
      <c r="H2540" s="254"/>
      <c r="I2540" s="228"/>
      <c r="J2540" s="228"/>
      <c r="K2540" s="228"/>
      <c r="L2540"/>
      <c r="M2540"/>
    </row>
    <row r="2541" spans="1:13" s="125" customFormat="1" x14ac:dyDescent="0.25">
      <c r="A2541" s="251"/>
      <c r="B2541" s="256"/>
      <c r="C2541" s="256"/>
      <c r="D2541" s="256"/>
      <c r="E2541" s="256"/>
      <c r="F2541" s="254"/>
      <c r="G2541" s="254"/>
      <c r="H2541" s="254"/>
      <c r="I2541" s="228"/>
      <c r="J2541" s="228"/>
      <c r="K2541" s="228"/>
      <c r="L2541"/>
      <c r="M2541"/>
    </row>
    <row r="2542" spans="1:13" s="125" customFormat="1" x14ac:dyDescent="0.25">
      <c r="A2542" s="251"/>
      <c r="B2542" s="256"/>
      <c r="C2542" s="256"/>
      <c r="D2542" s="256"/>
      <c r="E2542" s="256"/>
      <c r="F2542" s="254"/>
      <c r="G2542" s="254"/>
      <c r="H2542" s="254"/>
      <c r="I2542" s="228"/>
      <c r="J2542" s="228"/>
      <c r="K2542" s="228"/>
      <c r="L2542"/>
      <c r="M2542"/>
    </row>
    <row r="2543" spans="1:13" s="125" customFormat="1" x14ac:dyDescent="0.25">
      <c r="A2543" s="251"/>
      <c r="B2543" s="256"/>
      <c r="C2543" s="256"/>
      <c r="D2543" s="256"/>
      <c r="E2543" s="256"/>
      <c r="F2543" s="254"/>
      <c r="G2543" s="254"/>
      <c r="H2543" s="254"/>
      <c r="I2543" s="228"/>
      <c r="J2543" s="228"/>
      <c r="K2543" s="228"/>
      <c r="L2543"/>
      <c r="M2543"/>
    </row>
    <row r="2544" spans="1:13" s="125" customFormat="1" x14ac:dyDescent="0.25">
      <c r="A2544" s="251"/>
      <c r="B2544" s="256"/>
      <c r="C2544" s="256"/>
      <c r="D2544" s="256"/>
      <c r="E2544" s="256"/>
      <c r="F2544" s="254"/>
      <c r="G2544" s="254"/>
      <c r="H2544" s="254"/>
      <c r="I2544" s="228"/>
      <c r="J2544" s="228"/>
      <c r="K2544" s="228"/>
      <c r="L2544"/>
      <c r="M2544"/>
    </row>
    <row r="2545" spans="1:13" s="125" customFormat="1" x14ac:dyDescent="0.25">
      <c r="A2545" s="251"/>
      <c r="B2545" s="256"/>
      <c r="C2545" s="256"/>
      <c r="D2545" s="256"/>
      <c r="E2545" s="256"/>
      <c r="F2545" s="254"/>
      <c r="G2545" s="254"/>
      <c r="H2545" s="254"/>
      <c r="I2545" s="228"/>
      <c r="J2545" s="228"/>
      <c r="K2545" s="228"/>
      <c r="L2545"/>
      <c r="M2545"/>
    </row>
    <row r="2546" spans="1:13" s="125" customFormat="1" x14ac:dyDescent="0.25">
      <c r="A2546" s="251"/>
      <c r="B2546" s="256"/>
      <c r="C2546" s="256"/>
      <c r="D2546" s="256"/>
      <c r="E2546" s="256"/>
      <c r="F2546" s="254"/>
      <c r="G2546" s="254"/>
      <c r="H2546" s="254"/>
      <c r="I2546" s="228"/>
      <c r="J2546" s="228"/>
      <c r="K2546" s="228"/>
      <c r="L2546"/>
      <c r="M2546"/>
    </row>
    <row r="2547" spans="1:13" s="125" customFormat="1" x14ac:dyDescent="0.25">
      <c r="A2547" s="251"/>
      <c r="B2547" s="256"/>
      <c r="C2547" s="256"/>
      <c r="D2547" s="256"/>
      <c r="E2547" s="256"/>
      <c r="F2547" s="254"/>
      <c r="G2547" s="254"/>
      <c r="H2547" s="254"/>
      <c r="I2547" s="228"/>
      <c r="J2547" s="228"/>
      <c r="K2547" s="228"/>
      <c r="L2547"/>
      <c r="M2547"/>
    </row>
    <row r="2548" spans="1:13" s="125" customFormat="1" x14ac:dyDescent="0.25">
      <c r="A2548" s="251"/>
      <c r="B2548" s="256"/>
      <c r="C2548" s="256"/>
      <c r="D2548" s="256"/>
      <c r="E2548" s="256"/>
      <c r="F2548" s="254"/>
      <c r="G2548" s="254"/>
      <c r="H2548" s="254"/>
      <c r="I2548" s="228"/>
      <c r="J2548" s="228"/>
      <c r="K2548" s="228"/>
      <c r="L2548"/>
      <c r="M2548"/>
    </row>
    <row r="2549" spans="1:13" s="125" customFormat="1" x14ac:dyDescent="0.25">
      <c r="A2549" s="251"/>
      <c r="B2549" s="256"/>
      <c r="C2549" s="256"/>
      <c r="D2549" s="256"/>
      <c r="E2549" s="256"/>
      <c r="F2549" s="254"/>
      <c r="G2549" s="254"/>
      <c r="H2549" s="254"/>
      <c r="I2549" s="228"/>
      <c r="J2549" s="228"/>
      <c r="K2549" s="228"/>
      <c r="L2549"/>
      <c r="M2549"/>
    </row>
    <row r="2550" spans="1:13" s="125" customFormat="1" x14ac:dyDescent="0.25">
      <c r="A2550" s="251"/>
      <c r="B2550" s="256"/>
      <c r="C2550" s="256"/>
      <c r="D2550" s="256"/>
      <c r="E2550" s="256"/>
      <c r="F2550" s="254"/>
      <c r="G2550" s="254"/>
      <c r="H2550" s="254"/>
      <c r="I2550" s="228"/>
      <c r="J2550" s="228"/>
      <c r="K2550" s="228"/>
      <c r="L2550"/>
      <c r="M2550"/>
    </row>
    <row r="2551" spans="1:13" s="125" customFormat="1" x14ac:dyDescent="0.25">
      <c r="A2551" s="251"/>
      <c r="B2551" s="256"/>
      <c r="C2551" s="256"/>
      <c r="D2551" s="256"/>
      <c r="E2551" s="256"/>
      <c r="F2551" s="254"/>
      <c r="G2551" s="254"/>
      <c r="H2551" s="254"/>
      <c r="I2551" s="228"/>
      <c r="J2551" s="228"/>
      <c r="K2551" s="228"/>
      <c r="L2551"/>
      <c r="M2551"/>
    </row>
    <row r="2552" spans="1:13" s="125" customFormat="1" x14ac:dyDescent="0.25">
      <c r="A2552" s="251"/>
      <c r="B2552" s="256"/>
      <c r="C2552" s="256"/>
      <c r="D2552" s="256"/>
      <c r="E2552" s="256"/>
      <c r="F2552" s="254"/>
      <c r="G2552" s="254"/>
      <c r="H2552" s="254"/>
      <c r="I2552" s="228"/>
      <c r="J2552" s="228"/>
      <c r="K2552" s="228"/>
      <c r="L2552"/>
      <c r="M2552"/>
    </row>
    <row r="2553" spans="1:13" s="125" customFormat="1" x14ac:dyDescent="0.25">
      <c r="A2553" s="251"/>
      <c r="B2553" s="256"/>
      <c r="C2553" s="256"/>
      <c r="D2553" s="256"/>
      <c r="E2553" s="256"/>
      <c r="F2553" s="254"/>
      <c r="G2553" s="254"/>
      <c r="H2553" s="254"/>
      <c r="I2553" s="228"/>
      <c r="J2553" s="228"/>
      <c r="K2553" s="228"/>
      <c r="L2553"/>
      <c r="M2553"/>
    </row>
    <row r="2554" spans="1:13" s="125" customFormat="1" x14ac:dyDescent="0.25">
      <c r="A2554" s="251"/>
      <c r="B2554" s="256"/>
      <c r="C2554" s="256"/>
      <c r="D2554" s="256"/>
      <c r="E2554" s="256"/>
      <c r="F2554" s="254"/>
      <c r="G2554" s="254"/>
      <c r="H2554" s="254"/>
      <c r="I2554" s="228"/>
      <c r="J2554" s="228"/>
      <c r="K2554" s="228"/>
      <c r="L2554"/>
      <c r="M2554"/>
    </row>
    <row r="2555" spans="1:13" s="125" customFormat="1" x14ac:dyDescent="0.25">
      <c r="A2555" s="251"/>
      <c r="B2555" s="256"/>
      <c r="C2555" s="256"/>
      <c r="D2555" s="256"/>
      <c r="E2555" s="256"/>
      <c r="F2555" s="254"/>
      <c r="G2555" s="254"/>
      <c r="H2555" s="254"/>
      <c r="I2555" s="228"/>
      <c r="J2555" s="228"/>
      <c r="K2555" s="228"/>
      <c r="L2555"/>
      <c r="M2555"/>
    </row>
    <row r="2556" spans="1:13" s="125" customFormat="1" x14ac:dyDescent="0.25">
      <c r="A2556" s="251"/>
      <c r="B2556" s="256"/>
      <c r="C2556" s="256"/>
      <c r="D2556" s="256"/>
      <c r="E2556" s="256"/>
      <c r="F2556" s="254"/>
      <c r="G2556" s="254"/>
      <c r="H2556" s="254"/>
      <c r="I2556" s="228"/>
      <c r="J2556" s="228"/>
      <c r="K2556" s="228"/>
      <c r="L2556"/>
      <c r="M2556"/>
    </row>
    <row r="2557" spans="1:13" s="125" customFormat="1" x14ac:dyDescent="0.25">
      <c r="A2557" s="251"/>
      <c r="B2557" s="256"/>
      <c r="C2557" s="256"/>
      <c r="D2557" s="256"/>
      <c r="E2557" s="256"/>
      <c r="F2557" s="254"/>
      <c r="G2557" s="254"/>
      <c r="H2557" s="254"/>
      <c r="I2557" s="228"/>
      <c r="J2557" s="228"/>
      <c r="K2557" s="228"/>
      <c r="L2557"/>
      <c r="M2557"/>
    </row>
    <row r="2558" spans="1:13" s="125" customFormat="1" x14ac:dyDescent="0.25">
      <c r="A2558" s="251"/>
      <c r="B2558" s="256"/>
      <c r="C2558" s="256"/>
      <c r="D2558" s="256"/>
      <c r="E2558" s="256"/>
      <c r="F2558" s="254"/>
      <c r="G2558" s="254"/>
      <c r="H2558" s="254"/>
      <c r="I2558" s="228"/>
      <c r="J2558" s="228"/>
      <c r="K2558" s="228"/>
      <c r="L2558"/>
      <c r="M2558"/>
    </row>
    <row r="2559" spans="1:13" s="125" customFormat="1" x14ac:dyDescent="0.25">
      <c r="A2559" s="251"/>
      <c r="B2559" s="256"/>
      <c r="C2559" s="256"/>
      <c r="D2559" s="256"/>
      <c r="E2559" s="256"/>
      <c r="F2559" s="254"/>
      <c r="G2559" s="254"/>
      <c r="H2559" s="254"/>
      <c r="I2559" s="228"/>
      <c r="J2559" s="228"/>
      <c r="K2559" s="228"/>
      <c r="L2559"/>
      <c r="M2559"/>
    </row>
    <row r="2560" spans="1:13" s="125" customFormat="1" x14ac:dyDescent="0.25">
      <c r="A2560" s="251"/>
      <c r="B2560" s="256"/>
      <c r="C2560" s="256"/>
      <c r="D2560" s="256"/>
      <c r="E2560" s="256"/>
      <c r="F2560" s="254"/>
      <c r="G2560" s="254"/>
      <c r="H2560" s="254"/>
      <c r="I2560" s="228"/>
      <c r="J2560" s="228"/>
      <c r="K2560" s="228"/>
      <c r="L2560"/>
      <c r="M2560"/>
    </row>
    <row r="2561" spans="1:13" s="125" customFormat="1" x14ac:dyDescent="0.25">
      <c r="A2561" s="251"/>
      <c r="B2561" s="256"/>
      <c r="C2561" s="256"/>
      <c r="D2561" s="256"/>
      <c r="E2561" s="256"/>
      <c r="F2561" s="254"/>
      <c r="G2561" s="254"/>
      <c r="H2561" s="254"/>
      <c r="I2561" s="228"/>
      <c r="J2561" s="228"/>
      <c r="K2561" s="228"/>
      <c r="L2561"/>
      <c r="M2561"/>
    </row>
    <row r="2562" spans="1:13" s="125" customFormat="1" x14ac:dyDescent="0.25">
      <c r="A2562" s="251"/>
      <c r="B2562" s="256"/>
      <c r="C2562" s="256"/>
      <c r="D2562" s="256"/>
      <c r="E2562" s="256"/>
      <c r="F2562" s="254"/>
      <c r="G2562" s="254"/>
      <c r="H2562" s="254"/>
      <c r="I2562" s="228"/>
      <c r="J2562" s="228"/>
      <c r="K2562" s="228"/>
      <c r="L2562"/>
      <c r="M2562"/>
    </row>
    <row r="2563" spans="1:13" s="125" customFormat="1" x14ac:dyDescent="0.25">
      <c r="A2563" s="251"/>
      <c r="B2563" s="256"/>
      <c r="C2563" s="256"/>
      <c r="D2563" s="256"/>
      <c r="E2563" s="256"/>
      <c r="F2563" s="254"/>
      <c r="G2563" s="254"/>
      <c r="H2563" s="254"/>
      <c r="I2563" s="228"/>
      <c r="J2563" s="228"/>
      <c r="K2563" s="228"/>
      <c r="L2563"/>
      <c r="M2563"/>
    </row>
    <row r="2564" spans="1:13" s="125" customFormat="1" x14ac:dyDescent="0.25">
      <c r="A2564" s="251"/>
      <c r="B2564" s="256"/>
      <c r="C2564" s="256"/>
      <c r="D2564" s="256"/>
      <c r="E2564" s="256"/>
      <c r="F2564" s="257"/>
      <c r="G2564" s="257"/>
      <c r="H2564" s="257"/>
      <c r="I2564" s="228"/>
      <c r="J2564" s="228"/>
      <c r="K2564" s="228"/>
      <c r="L2564"/>
      <c r="M2564"/>
    </row>
    <row r="2565" spans="1:13" s="125" customFormat="1" x14ac:dyDescent="0.25">
      <c r="A2565" s="251"/>
      <c r="B2565" s="256"/>
      <c r="C2565" s="256"/>
      <c r="D2565" s="256"/>
      <c r="E2565" s="256"/>
      <c r="F2565" s="257"/>
      <c r="G2565" s="257"/>
      <c r="H2565" s="257"/>
      <c r="I2565" s="228"/>
      <c r="J2565" s="228"/>
      <c r="K2565" s="228"/>
      <c r="L2565"/>
      <c r="M2565"/>
    </row>
    <row r="2566" spans="1:13" s="125" customFormat="1" x14ac:dyDescent="0.25">
      <c r="A2566" s="251"/>
      <c r="B2566" s="256"/>
      <c r="C2566" s="256"/>
      <c r="D2566" s="256"/>
      <c r="E2566" s="256"/>
      <c r="F2566" s="257"/>
      <c r="G2566" s="257"/>
      <c r="H2566" s="257"/>
      <c r="I2566" s="228"/>
      <c r="J2566" s="228"/>
      <c r="K2566" s="228"/>
      <c r="L2566"/>
      <c r="M2566"/>
    </row>
    <row r="2567" spans="1:13" s="125" customFormat="1" x14ac:dyDescent="0.25">
      <c r="A2567" s="251"/>
      <c r="B2567" s="256"/>
      <c r="C2567" s="256"/>
      <c r="D2567" s="256"/>
      <c r="E2567" s="256"/>
      <c r="F2567" s="257"/>
      <c r="G2567" s="257"/>
      <c r="H2567" s="257"/>
      <c r="I2567" s="228"/>
      <c r="J2567" s="228"/>
      <c r="K2567" s="228"/>
      <c r="L2567"/>
      <c r="M2567"/>
    </row>
    <row r="2568" spans="1:13" s="125" customFormat="1" x14ac:dyDescent="0.25">
      <c r="A2568" s="251"/>
      <c r="B2568" s="256"/>
      <c r="C2568" s="256"/>
      <c r="D2568" s="256"/>
      <c r="E2568" s="256"/>
      <c r="F2568" s="257"/>
      <c r="G2568" s="257"/>
      <c r="H2568" s="257"/>
      <c r="I2568" s="228"/>
      <c r="J2568" s="228"/>
      <c r="K2568" s="228"/>
      <c r="L2568"/>
      <c r="M2568"/>
    </row>
    <row r="2569" spans="1:13" s="125" customFormat="1" x14ac:dyDescent="0.25">
      <c r="A2569" s="251"/>
      <c r="B2569" s="256"/>
      <c r="C2569" s="256"/>
      <c r="D2569" s="256"/>
      <c r="E2569" s="256"/>
      <c r="F2569" s="257"/>
      <c r="G2569" s="257"/>
      <c r="H2569" s="257"/>
      <c r="I2569" s="228"/>
      <c r="J2569" s="228"/>
      <c r="K2569" s="228"/>
      <c r="L2569"/>
      <c r="M2569"/>
    </row>
    <row r="2570" spans="1:13" s="125" customFormat="1" x14ac:dyDescent="0.25">
      <c r="A2570" s="251"/>
      <c r="B2570" s="256"/>
      <c r="C2570" s="256"/>
      <c r="D2570" s="256"/>
      <c r="E2570" s="256"/>
      <c r="F2570" s="257"/>
      <c r="G2570" s="257"/>
      <c r="H2570" s="257"/>
      <c r="I2570" s="228"/>
      <c r="J2570" s="228"/>
      <c r="K2570" s="228"/>
      <c r="L2570"/>
      <c r="M2570"/>
    </row>
    <row r="2571" spans="1:13" s="125" customFormat="1" x14ac:dyDescent="0.25">
      <c r="A2571" s="251"/>
      <c r="B2571" s="256"/>
      <c r="C2571" s="256"/>
      <c r="D2571" s="256"/>
      <c r="E2571" s="256"/>
      <c r="F2571" s="257"/>
      <c r="G2571" s="257"/>
      <c r="H2571" s="257"/>
      <c r="I2571" s="228"/>
      <c r="J2571" s="228"/>
      <c r="K2571" s="228"/>
      <c r="L2571"/>
      <c r="M2571"/>
    </row>
    <row r="2572" spans="1:13" s="125" customFormat="1" x14ac:dyDescent="0.25">
      <c r="A2572" s="251"/>
      <c r="B2572" s="256"/>
      <c r="C2572" s="256"/>
      <c r="D2572" s="256"/>
      <c r="E2572" s="256"/>
      <c r="F2572" s="257"/>
      <c r="G2572" s="257"/>
      <c r="H2572" s="257"/>
      <c r="I2572" s="228"/>
      <c r="J2572" s="228"/>
      <c r="K2572" s="228"/>
      <c r="L2572"/>
      <c r="M2572"/>
    </row>
    <row r="2573" spans="1:13" s="125" customFormat="1" x14ac:dyDescent="0.25">
      <c r="A2573" s="251"/>
      <c r="B2573" s="256"/>
      <c r="C2573" s="256"/>
      <c r="D2573" s="256"/>
      <c r="E2573" s="256"/>
      <c r="F2573" s="257"/>
      <c r="G2573" s="257"/>
      <c r="H2573" s="257"/>
      <c r="I2573" s="228"/>
      <c r="J2573" s="228"/>
      <c r="K2573" s="228"/>
      <c r="L2573"/>
      <c r="M2573"/>
    </row>
    <row r="2574" spans="1:13" s="125" customFormat="1" x14ac:dyDescent="0.25">
      <c r="A2574" s="251"/>
      <c r="B2574" s="256"/>
      <c r="C2574" s="256"/>
      <c r="D2574" s="256"/>
      <c r="E2574" s="256"/>
      <c r="F2574" s="257"/>
      <c r="G2574" s="257"/>
      <c r="H2574" s="257"/>
      <c r="I2574" s="228"/>
      <c r="J2574" s="228"/>
      <c r="K2574" s="228"/>
      <c r="L2574"/>
      <c r="M2574"/>
    </row>
    <row r="2575" spans="1:13" s="125" customFormat="1" x14ac:dyDescent="0.25">
      <c r="A2575" s="251"/>
      <c r="B2575" s="256"/>
      <c r="C2575" s="256"/>
      <c r="D2575" s="256"/>
      <c r="E2575" s="256"/>
      <c r="F2575" s="257"/>
      <c r="G2575" s="257"/>
      <c r="H2575" s="257"/>
      <c r="I2575" s="228"/>
      <c r="J2575" s="228"/>
      <c r="K2575" s="228"/>
      <c r="L2575"/>
      <c r="M2575"/>
    </row>
    <row r="2576" spans="1:13" s="125" customFormat="1" x14ac:dyDescent="0.25">
      <c r="A2576" s="251"/>
      <c r="B2576" s="256"/>
      <c r="C2576" s="256"/>
      <c r="D2576" s="256"/>
      <c r="E2576" s="256"/>
      <c r="F2576" s="257"/>
      <c r="G2576" s="257"/>
      <c r="H2576" s="257"/>
      <c r="I2576" s="228"/>
      <c r="J2576" s="228"/>
      <c r="K2576" s="228"/>
      <c r="L2576"/>
      <c r="M2576"/>
    </row>
    <row r="2577" spans="1:13" s="125" customFormat="1" x14ac:dyDescent="0.25">
      <c r="A2577" s="251"/>
      <c r="B2577" s="256"/>
      <c r="C2577" s="256"/>
      <c r="D2577" s="256"/>
      <c r="E2577" s="256"/>
      <c r="F2577" s="257"/>
      <c r="G2577" s="257"/>
      <c r="H2577" s="257"/>
      <c r="I2577" s="228"/>
      <c r="J2577" s="228"/>
      <c r="K2577" s="228"/>
      <c r="L2577"/>
      <c r="M2577"/>
    </row>
    <row r="2578" spans="1:13" s="125" customFormat="1" x14ac:dyDescent="0.25">
      <c r="A2578" s="251"/>
      <c r="B2578" s="256"/>
      <c r="C2578" s="256"/>
      <c r="D2578" s="256"/>
      <c r="E2578" s="256"/>
      <c r="F2578" s="257"/>
      <c r="G2578" s="257"/>
      <c r="H2578" s="257"/>
      <c r="I2578" s="228"/>
      <c r="J2578" s="228"/>
      <c r="K2578" s="228"/>
      <c r="L2578"/>
      <c r="M2578"/>
    </row>
    <row r="2579" spans="1:13" s="125" customFormat="1" x14ac:dyDescent="0.25">
      <c r="A2579" s="251"/>
      <c r="B2579" s="256"/>
      <c r="C2579" s="256"/>
      <c r="D2579" s="256"/>
      <c r="E2579" s="256"/>
      <c r="F2579" s="257"/>
      <c r="G2579" s="257"/>
      <c r="H2579" s="257"/>
      <c r="I2579" s="228"/>
      <c r="J2579" s="228"/>
      <c r="K2579" s="228"/>
      <c r="L2579"/>
      <c r="M2579"/>
    </row>
    <row r="2580" spans="1:13" s="125" customFormat="1" x14ac:dyDescent="0.25">
      <c r="A2580" s="251"/>
      <c r="B2580" s="256"/>
      <c r="C2580" s="256"/>
      <c r="D2580" s="256"/>
      <c r="E2580" s="256"/>
      <c r="F2580" s="257"/>
      <c r="G2580" s="257"/>
      <c r="H2580" s="257"/>
      <c r="I2580" s="228"/>
      <c r="J2580" s="228"/>
      <c r="K2580" s="228"/>
      <c r="L2580"/>
      <c r="M2580"/>
    </row>
    <row r="2581" spans="1:13" s="125" customFormat="1" x14ac:dyDescent="0.25">
      <c r="A2581" s="251"/>
      <c r="B2581" s="256"/>
      <c r="C2581" s="256"/>
      <c r="D2581" s="256"/>
      <c r="E2581" s="256"/>
      <c r="F2581" s="257"/>
      <c r="G2581" s="257"/>
      <c r="H2581" s="257"/>
      <c r="I2581" s="228"/>
      <c r="J2581" s="228"/>
      <c r="K2581" s="228"/>
      <c r="L2581"/>
      <c r="M2581"/>
    </row>
    <row r="2582" spans="1:13" s="125" customFormat="1" x14ac:dyDescent="0.25">
      <c r="A2582" s="251"/>
      <c r="B2582" s="256"/>
      <c r="C2582" s="256"/>
      <c r="D2582" s="256"/>
      <c r="E2582" s="256"/>
      <c r="F2582" s="257"/>
      <c r="G2582" s="257"/>
      <c r="H2582" s="257"/>
      <c r="I2582" s="228"/>
      <c r="J2582" s="228"/>
      <c r="K2582" s="228"/>
      <c r="L2582"/>
      <c r="M2582"/>
    </row>
    <row r="2583" spans="1:13" s="125" customFormat="1" x14ac:dyDescent="0.25">
      <c r="A2583" s="251"/>
      <c r="B2583" s="256"/>
      <c r="C2583" s="256"/>
      <c r="D2583" s="256"/>
      <c r="E2583" s="256"/>
      <c r="F2583" s="257"/>
      <c r="G2583" s="257"/>
      <c r="H2583" s="257"/>
      <c r="I2583" s="228"/>
      <c r="J2583" s="228"/>
      <c r="K2583" s="228"/>
      <c r="L2583"/>
      <c r="M2583"/>
    </row>
    <row r="2584" spans="1:13" s="125" customFormat="1" x14ac:dyDescent="0.25">
      <c r="A2584" s="251"/>
      <c r="B2584" s="256"/>
      <c r="C2584" s="256"/>
      <c r="D2584" s="256"/>
      <c r="E2584" s="256"/>
      <c r="F2584" s="257"/>
      <c r="G2584" s="257"/>
      <c r="H2584" s="257"/>
      <c r="I2584" s="228"/>
      <c r="J2584" s="228"/>
      <c r="K2584" s="228"/>
      <c r="L2584"/>
      <c r="M2584"/>
    </row>
    <row r="2585" spans="1:13" s="125" customFormat="1" x14ac:dyDescent="0.25">
      <c r="A2585" s="251"/>
      <c r="B2585" s="256"/>
      <c r="C2585" s="256"/>
      <c r="D2585" s="256"/>
      <c r="E2585" s="256"/>
      <c r="F2585" s="257"/>
      <c r="G2585" s="257"/>
      <c r="H2585" s="257"/>
      <c r="I2585" s="228"/>
      <c r="J2585" s="228"/>
      <c r="K2585" s="228"/>
      <c r="L2585"/>
      <c r="M2585"/>
    </row>
    <row r="2586" spans="1:13" s="125" customFormat="1" x14ac:dyDescent="0.25">
      <c r="A2586" s="251"/>
      <c r="B2586" s="256"/>
      <c r="C2586" s="256"/>
      <c r="D2586" s="256"/>
      <c r="E2586" s="256"/>
      <c r="F2586" s="257"/>
      <c r="G2586" s="257"/>
      <c r="H2586" s="257"/>
      <c r="I2586" s="228"/>
      <c r="J2586" s="228"/>
      <c r="K2586" s="228"/>
      <c r="L2586"/>
      <c r="M2586"/>
    </row>
    <row r="2587" spans="1:13" s="125" customFormat="1" x14ac:dyDescent="0.25">
      <c r="A2587" s="251"/>
      <c r="B2587" s="256"/>
      <c r="C2587" s="256"/>
      <c r="D2587" s="256"/>
      <c r="E2587" s="256"/>
      <c r="F2587" s="257"/>
      <c r="G2587" s="257"/>
      <c r="H2587" s="257"/>
      <c r="I2587" s="228"/>
      <c r="J2587" s="228"/>
      <c r="K2587" s="228"/>
      <c r="L2587"/>
      <c r="M2587"/>
    </row>
    <row r="2588" spans="1:13" s="125" customFormat="1" x14ac:dyDescent="0.25">
      <c r="A2588" s="251"/>
      <c r="B2588" s="256"/>
      <c r="C2588" s="256"/>
      <c r="D2588" s="256"/>
      <c r="E2588" s="256"/>
      <c r="F2588" s="257"/>
      <c r="G2588" s="257"/>
      <c r="H2588" s="257"/>
      <c r="I2588" s="228"/>
      <c r="J2588" s="228"/>
      <c r="K2588" s="228"/>
      <c r="L2588"/>
      <c r="M2588"/>
    </row>
    <row r="2589" spans="1:13" s="125" customFormat="1" x14ac:dyDescent="0.25">
      <c r="A2589" s="251"/>
      <c r="B2589" s="256"/>
      <c r="C2589" s="256"/>
      <c r="D2589" s="256"/>
      <c r="E2589" s="256"/>
      <c r="F2589" s="257"/>
      <c r="G2589" s="257"/>
      <c r="H2589" s="257"/>
      <c r="I2589" s="228"/>
      <c r="J2589" s="228"/>
      <c r="K2589" s="228"/>
      <c r="L2589"/>
      <c r="M2589"/>
    </row>
    <row r="2590" spans="1:13" s="125" customFormat="1" x14ac:dyDescent="0.25">
      <c r="A2590" s="251"/>
      <c r="B2590" s="256"/>
      <c r="C2590" s="256"/>
      <c r="D2590" s="256"/>
      <c r="E2590" s="256"/>
      <c r="F2590" s="257"/>
      <c r="G2590" s="257"/>
      <c r="H2590" s="257"/>
      <c r="I2590" s="228"/>
      <c r="J2590" s="228"/>
      <c r="K2590" s="228"/>
      <c r="L2590"/>
      <c r="M2590"/>
    </row>
    <row r="2591" spans="1:13" s="125" customFormat="1" x14ac:dyDescent="0.25">
      <c r="A2591" s="251"/>
      <c r="B2591" s="256"/>
      <c r="C2591" s="256"/>
      <c r="D2591" s="256"/>
      <c r="E2591" s="256"/>
      <c r="F2591" s="257"/>
      <c r="G2591" s="257"/>
      <c r="H2591" s="257"/>
      <c r="I2591" s="228"/>
      <c r="J2591" s="228"/>
      <c r="K2591" s="228"/>
      <c r="L2591"/>
      <c r="M2591"/>
    </row>
    <row r="2592" spans="1:13" s="125" customFormat="1" x14ac:dyDescent="0.25">
      <c r="A2592" s="251"/>
      <c r="B2592" s="256"/>
      <c r="C2592" s="256"/>
      <c r="D2592" s="256"/>
      <c r="E2592" s="256"/>
      <c r="F2592" s="257"/>
      <c r="G2592" s="257"/>
      <c r="H2592" s="257"/>
      <c r="I2592" s="228"/>
      <c r="J2592" s="228"/>
      <c r="K2592" s="228"/>
      <c r="L2592"/>
      <c r="M2592"/>
    </row>
    <row r="2593" spans="1:13" s="125" customFormat="1" x14ac:dyDescent="0.25">
      <c r="A2593" s="251"/>
      <c r="B2593" s="256"/>
      <c r="C2593" s="256"/>
      <c r="D2593" s="256"/>
      <c r="E2593" s="256"/>
      <c r="F2593" s="257"/>
      <c r="G2593" s="257"/>
      <c r="H2593" s="257"/>
      <c r="I2593" s="228"/>
      <c r="J2593" s="228"/>
      <c r="K2593" s="228"/>
      <c r="L2593"/>
      <c r="M2593"/>
    </row>
    <row r="2594" spans="1:13" s="125" customFormat="1" x14ac:dyDescent="0.25">
      <c r="A2594" s="251"/>
      <c r="B2594" s="256"/>
      <c r="C2594" s="256"/>
      <c r="D2594" s="256"/>
      <c r="E2594" s="256"/>
      <c r="F2594" s="257"/>
      <c r="G2594" s="257"/>
      <c r="H2594" s="257"/>
      <c r="I2594" s="228"/>
      <c r="J2594" s="228"/>
      <c r="K2594" s="228"/>
      <c r="L2594"/>
      <c r="M2594"/>
    </row>
    <row r="2595" spans="1:13" s="125" customFormat="1" x14ac:dyDescent="0.25">
      <c r="A2595" s="251"/>
      <c r="B2595" s="256"/>
      <c r="C2595" s="256"/>
      <c r="D2595" s="256"/>
      <c r="E2595" s="256"/>
      <c r="F2595" s="257"/>
      <c r="G2595" s="257"/>
      <c r="H2595" s="257"/>
      <c r="I2595" s="228"/>
      <c r="J2595" s="228"/>
      <c r="K2595" s="228"/>
      <c r="L2595"/>
      <c r="M2595"/>
    </row>
    <row r="2596" spans="1:13" s="125" customFormat="1" x14ac:dyDescent="0.25">
      <c r="A2596" s="251"/>
      <c r="B2596" s="256"/>
      <c r="C2596" s="256"/>
      <c r="D2596" s="256"/>
      <c r="E2596" s="256"/>
      <c r="F2596" s="257"/>
      <c r="G2596" s="257"/>
      <c r="H2596" s="257"/>
      <c r="I2596" s="228"/>
      <c r="J2596" s="228"/>
      <c r="K2596" s="228"/>
      <c r="L2596"/>
      <c r="M2596"/>
    </row>
    <row r="2597" spans="1:13" s="125" customFormat="1" x14ac:dyDescent="0.25">
      <c r="A2597" s="251"/>
      <c r="B2597" s="256"/>
      <c r="C2597" s="256"/>
      <c r="D2597" s="256"/>
      <c r="E2597" s="256"/>
      <c r="F2597" s="257"/>
      <c r="G2597" s="257"/>
      <c r="H2597" s="257"/>
      <c r="I2597" s="228"/>
      <c r="J2597" s="228"/>
      <c r="K2597" s="228"/>
      <c r="L2597"/>
      <c r="M2597"/>
    </row>
    <row r="2598" spans="1:13" s="125" customFormat="1" x14ac:dyDescent="0.25">
      <c r="A2598" s="251"/>
      <c r="B2598" s="256"/>
      <c r="C2598" s="256"/>
      <c r="D2598" s="256"/>
      <c r="E2598" s="256"/>
      <c r="F2598" s="257"/>
      <c r="G2598" s="257"/>
      <c r="H2598" s="257"/>
      <c r="I2598" s="228"/>
      <c r="J2598" s="228"/>
      <c r="K2598" s="228"/>
      <c r="L2598"/>
      <c r="M2598"/>
    </row>
    <row r="2599" spans="1:13" s="125" customFormat="1" x14ac:dyDescent="0.25">
      <c r="A2599" s="251"/>
      <c r="B2599" s="256"/>
      <c r="C2599" s="256"/>
      <c r="D2599" s="256"/>
      <c r="E2599" s="256"/>
      <c r="F2599" s="257"/>
      <c r="G2599" s="257"/>
      <c r="H2599" s="257"/>
      <c r="I2599" s="228"/>
      <c r="J2599" s="228"/>
      <c r="K2599" s="228"/>
      <c r="L2599"/>
      <c r="M2599"/>
    </row>
    <row r="2600" spans="1:13" s="125" customFormat="1" x14ac:dyDescent="0.25">
      <c r="A2600" s="251"/>
      <c r="B2600" s="256"/>
      <c r="C2600" s="256"/>
      <c r="D2600" s="256"/>
      <c r="E2600" s="256"/>
      <c r="F2600" s="257"/>
      <c r="G2600" s="257"/>
      <c r="H2600" s="257"/>
      <c r="I2600" s="228"/>
      <c r="J2600" s="228"/>
      <c r="K2600" s="228"/>
      <c r="L2600"/>
      <c r="M2600"/>
    </row>
    <row r="2601" spans="1:13" s="125" customFormat="1" x14ac:dyDescent="0.25">
      <c r="A2601" s="251"/>
      <c r="B2601" s="256"/>
      <c r="C2601" s="256"/>
      <c r="D2601" s="256"/>
      <c r="E2601" s="256"/>
      <c r="F2601" s="257"/>
      <c r="G2601" s="257"/>
      <c r="H2601" s="257"/>
      <c r="I2601" s="228"/>
      <c r="J2601" s="228"/>
      <c r="K2601" s="228"/>
      <c r="L2601"/>
      <c r="M2601"/>
    </row>
    <row r="2602" spans="1:13" s="125" customFormat="1" x14ac:dyDescent="0.25">
      <c r="A2602" s="251"/>
      <c r="B2602" s="256"/>
      <c r="C2602" s="256"/>
      <c r="D2602" s="256"/>
      <c r="E2602" s="256"/>
      <c r="F2602" s="257"/>
      <c r="G2602" s="257"/>
      <c r="H2602" s="257"/>
      <c r="I2602" s="228"/>
      <c r="J2602" s="228"/>
      <c r="K2602" s="228"/>
      <c r="L2602"/>
      <c r="M2602"/>
    </row>
    <row r="2603" spans="1:13" s="125" customFormat="1" x14ac:dyDescent="0.25">
      <c r="A2603" s="251"/>
      <c r="B2603" s="256"/>
      <c r="C2603" s="256"/>
      <c r="D2603" s="256"/>
      <c r="E2603" s="256"/>
      <c r="F2603" s="257"/>
      <c r="G2603" s="257"/>
      <c r="H2603" s="257"/>
      <c r="I2603" s="228"/>
      <c r="J2603" s="228"/>
      <c r="K2603" s="228"/>
      <c r="L2603"/>
      <c r="M2603"/>
    </row>
    <row r="2604" spans="1:13" s="125" customFormat="1" x14ac:dyDescent="0.25">
      <c r="A2604" s="251"/>
      <c r="B2604" s="256"/>
      <c r="C2604" s="256"/>
      <c r="D2604" s="256"/>
      <c r="E2604" s="256"/>
      <c r="F2604" s="257"/>
      <c r="G2604" s="257"/>
      <c r="H2604" s="257"/>
      <c r="I2604" s="228"/>
      <c r="J2604" s="228"/>
      <c r="K2604" s="228"/>
      <c r="L2604"/>
      <c r="M2604"/>
    </row>
    <row r="2605" spans="1:13" s="125" customFormat="1" x14ac:dyDescent="0.25">
      <c r="A2605" s="251"/>
      <c r="B2605" s="256"/>
      <c r="C2605" s="256"/>
      <c r="D2605" s="256"/>
      <c r="E2605" s="256"/>
      <c r="F2605" s="257"/>
      <c r="G2605" s="257"/>
      <c r="H2605" s="257"/>
      <c r="I2605" s="228"/>
      <c r="J2605" s="228"/>
      <c r="K2605" s="228"/>
      <c r="L2605"/>
      <c r="M2605"/>
    </row>
    <row r="2606" spans="1:13" s="125" customFormat="1" x14ac:dyDescent="0.25">
      <c r="A2606" s="251"/>
      <c r="B2606" s="256"/>
      <c r="C2606" s="256"/>
      <c r="D2606" s="256"/>
      <c r="E2606" s="256"/>
      <c r="F2606" s="257"/>
      <c r="G2606" s="257"/>
      <c r="H2606" s="257"/>
      <c r="I2606" s="228"/>
      <c r="J2606" s="228"/>
      <c r="K2606" s="228"/>
      <c r="L2606"/>
      <c r="M2606"/>
    </row>
    <row r="2607" spans="1:13" s="125" customFormat="1" x14ac:dyDescent="0.25">
      <c r="A2607" s="251"/>
      <c r="B2607" s="256"/>
      <c r="C2607" s="256"/>
      <c r="D2607" s="256"/>
      <c r="E2607" s="256"/>
      <c r="F2607" s="257"/>
      <c r="G2607" s="257"/>
      <c r="H2607" s="257"/>
      <c r="I2607" s="228"/>
      <c r="J2607" s="228"/>
      <c r="K2607" s="228"/>
      <c r="L2607"/>
      <c r="M2607"/>
    </row>
    <row r="2608" spans="1:13" s="125" customFormat="1" x14ac:dyDescent="0.25">
      <c r="A2608" s="251"/>
      <c r="B2608" s="256"/>
      <c r="C2608" s="256"/>
      <c r="D2608" s="256"/>
      <c r="E2608" s="256"/>
      <c r="F2608" s="257"/>
      <c r="G2608" s="257"/>
      <c r="H2608" s="257"/>
      <c r="I2608" s="228"/>
      <c r="J2608" s="228"/>
      <c r="K2608" s="228"/>
      <c r="L2608"/>
      <c r="M2608"/>
    </row>
    <row r="2609" spans="1:13" s="125" customFormat="1" x14ac:dyDescent="0.25">
      <c r="A2609" s="251"/>
      <c r="B2609" s="256"/>
      <c r="C2609" s="256"/>
      <c r="D2609" s="256"/>
      <c r="E2609" s="256"/>
      <c r="F2609" s="257"/>
      <c r="G2609" s="257"/>
      <c r="H2609" s="257"/>
      <c r="I2609" s="228"/>
      <c r="J2609" s="228"/>
      <c r="K2609" s="228"/>
      <c r="L2609"/>
      <c r="M2609"/>
    </row>
    <row r="2610" spans="1:13" s="125" customFormat="1" x14ac:dyDescent="0.25">
      <c r="A2610" s="251"/>
      <c r="B2610" s="256"/>
      <c r="C2610" s="256"/>
      <c r="D2610" s="256"/>
      <c r="E2610" s="256"/>
      <c r="F2610" s="257"/>
      <c r="G2610" s="257"/>
      <c r="H2610" s="257"/>
      <c r="I2610" s="228"/>
      <c r="J2610" s="228"/>
      <c r="K2610" s="228"/>
      <c r="L2610"/>
      <c r="M2610"/>
    </row>
    <row r="2611" spans="1:13" s="125" customFormat="1" x14ac:dyDescent="0.25">
      <c r="A2611" s="251"/>
      <c r="B2611" s="256"/>
      <c r="C2611" s="256"/>
      <c r="D2611" s="256"/>
      <c r="E2611" s="256"/>
      <c r="F2611" s="257"/>
      <c r="G2611" s="257"/>
      <c r="H2611" s="257"/>
      <c r="I2611" s="228"/>
      <c r="J2611" s="228"/>
      <c r="K2611" s="228"/>
      <c r="L2611"/>
      <c r="M2611"/>
    </row>
    <row r="2612" spans="1:13" s="125" customFormat="1" x14ac:dyDescent="0.25">
      <c r="A2612" s="251"/>
      <c r="B2612" s="256"/>
      <c r="C2612" s="256"/>
      <c r="D2612" s="256"/>
      <c r="E2612" s="256"/>
      <c r="F2612" s="257"/>
      <c r="G2612" s="257"/>
      <c r="H2612" s="257"/>
      <c r="I2612" s="228"/>
      <c r="J2612" s="228"/>
      <c r="K2612" s="228"/>
      <c r="L2612"/>
      <c r="M2612"/>
    </row>
    <row r="2613" spans="1:13" s="125" customFormat="1" x14ac:dyDescent="0.25">
      <c r="A2613" s="251"/>
      <c r="B2613" s="256"/>
      <c r="C2613" s="256"/>
      <c r="D2613" s="256"/>
      <c r="E2613" s="256"/>
      <c r="F2613" s="257"/>
      <c r="G2613" s="257"/>
      <c r="H2613" s="257"/>
      <c r="I2613" s="228"/>
      <c r="J2613" s="228"/>
      <c r="K2613" s="228"/>
      <c r="L2613"/>
      <c r="M2613"/>
    </row>
    <row r="2614" spans="1:13" s="125" customFormat="1" x14ac:dyDescent="0.25">
      <c r="A2614" s="251"/>
      <c r="B2614" s="256"/>
      <c r="C2614" s="256"/>
      <c r="D2614" s="256"/>
      <c r="E2614" s="256"/>
      <c r="F2614" s="257"/>
      <c r="G2614" s="257"/>
      <c r="H2614" s="257"/>
      <c r="I2614" s="228"/>
      <c r="J2614" s="228"/>
      <c r="K2614" s="228"/>
      <c r="L2614"/>
      <c r="M2614"/>
    </row>
    <row r="2615" spans="1:13" s="125" customFormat="1" x14ac:dyDescent="0.25">
      <c r="A2615" s="251"/>
      <c r="B2615" s="256"/>
      <c r="C2615" s="256"/>
      <c r="D2615" s="256"/>
      <c r="E2615" s="256"/>
      <c r="F2615" s="257"/>
      <c r="G2615" s="257"/>
      <c r="H2615" s="257"/>
      <c r="I2615" s="228"/>
      <c r="J2615" s="228"/>
      <c r="K2615" s="228"/>
      <c r="L2615"/>
      <c r="M2615"/>
    </row>
    <row r="2616" spans="1:13" s="125" customFormat="1" x14ac:dyDescent="0.25">
      <c r="A2616" s="251"/>
      <c r="B2616" s="256"/>
      <c r="C2616" s="256"/>
      <c r="D2616" s="256"/>
      <c r="E2616" s="256"/>
      <c r="F2616" s="257"/>
      <c r="G2616" s="257"/>
      <c r="H2616" s="257"/>
      <c r="I2616" s="228"/>
      <c r="J2616" s="228"/>
      <c r="K2616" s="228"/>
      <c r="L2616"/>
      <c r="M2616"/>
    </row>
    <row r="2617" spans="1:13" s="125" customFormat="1" x14ac:dyDescent="0.25">
      <c r="A2617" s="251"/>
      <c r="B2617" s="256"/>
      <c r="C2617" s="256"/>
      <c r="D2617" s="256"/>
      <c r="E2617" s="256"/>
      <c r="F2617" s="257"/>
      <c r="G2617" s="257"/>
      <c r="H2617" s="257"/>
      <c r="I2617" s="228"/>
      <c r="J2617" s="228"/>
      <c r="K2617" s="228"/>
      <c r="L2617"/>
      <c r="M2617"/>
    </row>
    <row r="2618" spans="1:13" s="125" customFormat="1" x14ac:dyDescent="0.25">
      <c r="A2618" s="251"/>
      <c r="B2618" s="256"/>
      <c r="C2618" s="256"/>
      <c r="D2618" s="256"/>
      <c r="E2618" s="256"/>
      <c r="F2618" s="257"/>
      <c r="G2618" s="257"/>
      <c r="H2618" s="257"/>
      <c r="I2618" s="228"/>
      <c r="J2618" s="228"/>
      <c r="K2618" s="228"/>
      <c r="L2618"/>
      <c r="M2618"/>
    </row>
    <row r="2619" spans="1:13" s="125" customFormat="1" x14ac:dyDescent="0.25">
      <c r="A2619" s="251"/>
      <c r="B2619" s="256"/>
      <c r="C2619" s="256"/>
      <c r="D2619" s="256"/>
      <c r="E2619" s="256"/>
      <c r="F2619" s="257"/>
      <c r="G2619" s="257"/>
      <c r="H2619" s="257"/>
      <c r="I2619" s="228"/>
      <c r="J2619" s="228"/>
      <c r="K2619" s="228"/>
      <c r="L2619"/>
      <c r="M2619"/>
    </row>
    <row r="2620" spans="1:13" s="125" customFormat="1" x14ac:dyDescent="0.25">
      <c r="A2620" s="251"/>
      <c r="B2620" s="256"/>
      <c r="C2620" s="256"/>
      <c r="D2620" s="256"/>
      <c r="E2620" s="256"/>
      <c r="F2620" s="257"/>
      <c r="G2620" s="257"/>
      <c r="H2620" s="257"/>
      <c r="I2620" s="228"/>
      <c r="J2620" s="228"/>
      <c r="K2620" s="228"/>
      <c r="L2620"/>
      <c r="M2620"/>
    </row>
    <row r="2621" spans="1:13" s="125" customFormat="1" x14ac:dyDescent="0.25">
      <c r="A2621" s="251"/>
      <c r="B2621" s="256"/>
      <c r="C2621" s="256"/>
      <c r="D2621" s="256"/>
      <c r="E2621" s="256"/>
      <c r="F2621" s="257"/>
      <c r="G2621" s="257"/>
      <c r="H2621" s="257"/>
      <c r="I2621" s="228"/>
      <c r="J2621" s="228"/>
      <c r="K2621" s="228"/>
      <c r="L2621"/>
      <c r="M2621"/>
    </row>
    <row r="2622" spans="1:13" s="125" customFormat="1" x14ac:dyDescent="0.25">
      <c r="A2622" s="251"/>
      <c r="B2622" s="256"/>
      <c r="C2622" s="256"/>
      <c r="D2622" s="256"/>
      <c r="E2622" s="256"/>
      <c r="F2622" s="257"/>
      <c r="G2622" s="257"/>
      <c r="H2622" s="257"/>
      <c r="I2622" s="228"/>
      <c r="J2622" s="228"/>
      <c r="K2622" s="228"/>
      <c r="L2622"/>
      <c r="M2622"/>
    </row>
    <row r="2623" spans="1:13" s="125" customFormat="1" x14ac:dyDescent="0.25">
      <c r="A2623" s="251"/>
      <c r="B2623" s="256"/>
      <c r="C2623" s="256"/>
      <c r="D2623" s="256"/>
      <c r="E2623" s="256"/>
      <c r="F2623" s="257"/>
      <c r="G2623" s="257"/>
      <c r="H2623" s="257"/>
      <c r="I2623" s="228"/>
      <c r="J2623" s="228"/>
      <c r="K2623" s="228"/>
      <c r="L2623"/>
      <c r="M2623"/>
    </row>
    <row r="2624" spans="1:13" s="125" customFormat="1" x14ac:dyDescent="0.25">
      <c r="A2624" s="251"/>
      <c r="B2624" s="256"/>
      <c r="C2624" s="256"/>
      <c r="D2624" s="256"/>
      <c r="E2624" s="256"/>
      <c r="F2624" s="257"/>
      <c r="G2624" s="257"/>
      <c r="H2624" s="257"/>
      <c r="I2624" s="228"/>
      <c r="J2624" s="228"/>
      <c r="K2624" s="228"/>
      <c r="L2624"/>
      <c r="M2624"/>
    </row>
    <row r="2625" spans="1:13" s="125" customFormat="1" x14ac:dyDescent="0.25">
      <c r="A2625" s="251"/>
      <c r="B2625" s="256"/>
      <c r="C2625" s="256"/>
      <c r="D2625" s="256"/>
      <c r="E2625" s="256"/>
      <c r="F2625" s="257"/>
      <c r="G2625" s="257"/>
      <c r="H2625" s="257"/>
      <c r="I2625" s="228"/>
      <c r="J2625" s="228"/>
      <c r="K2625" s="228"/>
      <c r="L2625"/>
      <c r="M2625"/>
    </row>
    <row r="2626" spans="1:13" s="125" customFormat="1" x14ac:dyDescent="0.25">
      <c r="A2626" s="251"/>
      <c r="B2626" s="256"/>
      <c r="C2626" s="256"/>
      <c r="D2626" s="256"/>
      <c r="E2626" s="256"/>
      <c r="F2626" s="257"/>
      <c r="G2626" s="257"/>
      <c r="H2626" s="257"/>
      <c r="I2626" s="228"/>
      <c r="J2626" s="228"/>
      <c r="K2626" s="228"/>
      <c r="L2626"/>
      <c r="M2626"/>
    </row>
    <row r="2627" spans="1:13" s="125" customFormat="1" x14ac:dyDescent="0.25">
      <c r="A2627" s="251"/>
      <c r="B2627" s="256"/>
      <c r="C2627" s="256"/>
      <c r="D2627" s="256"/>
      <c r="E2627" s="256"/>
      <c r="F2627" s="257"/>
      <c r="G2627" s="257"/>
      <c r="H2627" s="257"/>
      <c r="I2627" s="228"/>
      <c r="J2627" s="228"/>
      <c r="K2627" s="228"/>
      <c r="L2627"/>
      <c r="M2627"/>
    </row>
    <row r="2628" spans="1:13" s="125" customFormat="1" x14ac:dyDescent="0.25">
      <c r="A2628" s="251"/>
      <c r="B2628" s="256"/>
      <c r="C2628" s="256"/>
      <c r="D2628" s="256"/>
      <c r="E2628" s="256"/>
      <c r="F2628" s="257"/>
      <c r="G2628" s="257"/>
      <c r="H2628" s="257"/>
      <c r="I2628" s="228"/>
      <c r="J2628" s="228"/>
      <c r="K2628" s="228"/>
      <c r="L2628"/>
      <c r="M2628"/>
    </row>
    <row r="2629" spans="1:13" s="125" customFormat="1" x14ac:dyDescent="0.25">
      <c r="A2629" s="251"/>
      <c r="B2629" s="256"/>
      <c r="C2629" s="256"/>
      <c r="D2629" s="256"/>
      <c r="E2629" s="256"/>
      <c r="F2629" s="257"/>
      <c r="G2629" s="257"/>
      <c r="H2629" s="257"/>
      <c r="I2629" s="228"/>
      <c r="J2629" s="228"/>
      <c r="K2629" s="228"/>
      <c r="L2629"/>
      <c r="M2629"/>
    </row>
    <row r="2630" spans="1:13" s="125" customFormat="1" x14ac:dyDescent="0.25">
      <c r="A2630" s="251"/>
      <c r="B2630" s="256"/>
      <c r="C2630" s="256"/>
      <c r="D2630" s="256"/>
      <c r="E2630" s="256"/>
      <c r="F2630" s="257"/>
      <c r="G2630" s="257"/>
      <c r="H2630" s="257"/>
      <c r="I2630" s="228"/>
      <c r="J2630" s="228"/>
      <c r="K2630" s="228"/>
      <c r="L2630"/>
      <c r="M2630"/>
    </row>
    <row r="2631" spans="1:13" s="125" customFormat="1" x14ac:dyDescent="0.25">
      <c r="A2631" s="251"/>
      <c r="B2631" s="256"/>
      <c r="C2631" s="256"/>
      <c r="D2631" s="256"/>
      <c r="E2631" s="256"/>
      <c r="F2631" s="257"/>
      <c r="G2631" s="257"/>
      <c r="H2631" s="257"/>
      <c r="I2631" s="228"/>
      <c r="J2631" s="228"/>
      <c r="K2631" s="228"/>
      <c r="L2631"/>
      <c r="M2631"/>
    </row>
    <row r="2632" spans="1:13" s="125" customFormat="1" x14ac:dyDescent="0.25">
      <c r="A2632" s="251"/>
      <c r="B2632" s="256"/>
      <c r="C2632" s="256"/>
      <c r="D2632" s="256"/>
      <c r="E2632" s="256"/>
      <c r="F2632" s="257"/>
      <c r="G2632" s="257"/>
      <c r="H2632" s="257"/>
      <c r="I2632" s="228"/>
      <c r="J2632" s="228"/>
      <c r="K2632" s="228"/>
      <c r="L2632"/>
      <c r="M2632"/>
    </row>
    <row r="2633" spans="1:13" s="125" customFormat="1" x14ac:dyDescent="0.25">
      <c r="A2633" s="251"/>
      <c r="B2633" s="256"/>
      <c r="C2633" s="256"/>
      <c r="D2633" s="256"/>
      <c r="E2633" s="256"/>
      <c r="F2633" s="257"/>
      <c r="G2633" s="257"/>
      <c r="H2633" s="257"/>
      <c r="I2633" s="228"/>
      <c r="J2633" s="228"/>
      <c r="K2633" s="228"/>
      <c r="L2633"/>
      <c r="M2633"/>
    </row>
    <row r="2634" spans="1:13" s="125" customFormat="1" x14ac:dyDescent="0.25">
      <c r="A2634" s="251"/>
      <c r="B2634" s="256"/>
      <c r="C2634" s="256"/>
      <c r="D2634" s="256"/>
      <c r="E2634" s="256"/>
      <c r="F2634" s="257"/>
      <c r="G2634" s="257"/>
      <c r="H2634" s="257"/>
      <c r="I2634" s="228"/>
      <c r="J2634" s="228"/>
      <c r="K2634" s="228"/>
      <c r="L2634"/>
      <c r="M2634"/>
    </row>
    <row r="2635" spans="1:13" s="125" customFormat="1" x14ac:dyDescent="0.25">
      <c r="A2635" s="251"/>
      <c r="B2635" s="256"/>
      <c r="C2635" s="256"/>
      <c r="D2635" s="256"/>
      <c r="E2635" s="256"/>
      <c r="F2635" s="257"/>
      <c r="G2635" s="257"/>
      <c r="H2635" s="257"/>
      <c r="I2635" s="228"/>
      <c r="J2635" s="228"/>
      <c r="K2635" s="228"/>
      <c r="L2635"/>
      <c r="M2635"/>
    </row>
    <row r="2636" spans="1:13" s="125" customFormat="1" x14ac:dyDescent="0.25">
      <c r="A2636" s="251"/>
      <c r="B2636" s="256"/>
      <c r="C2636" s="256"/>
      <c r="D2636" s="256"/>
      <c r="E2636" s="256"/>
      <c r="F2636" s="257"/>
      <c r="G2636" s="257"/>
      <c r="H2636" s="257"/>
      <c r="I2636" s="228"/>
      <c r="J2636" s="228"/>
      <c r="K2636" s="228"/>
      <c r="L2636"/>
      <c r="M2636"/>
    </row>
    <row r="2637" spans="1:13" s="125" customFormat="1" x14ac:dyDescent="0.25">
      <c r="A2637" s="251"/>
      <c r="B2637" s="256"/>
      <c r="C2637" s="256"/>
      <c r="D2637" s="256"/>
      <c r="E2637" s="256"/>
      <c r="F2637" s="257"/>
      <c r="G2637" s="257"/>
      <c r="H2637" s="257"/>
      <c r="I2637" s="228"/>
      <c r="J2637" s="228"/>
      <c r="K2637" s="228"/>
      <c r="L2637"/>
      <c r="M2637"/>
    </row>
    <row r="2638" spans="1:13" s="125" customFormat="1" x14ac:dyDescent="0.25">
      <c r="A2638" s="251"/>
      <c r="B2638" s="256"/>
      <c r="C2638" s="256"/>
      <c r="D2638" s="256"/>
      <c r="E2638" s="256"/>
      <c r="F2638" s="257"/>
      <c r="G2638" s="257"/>
      <c r="H2638" s="257"/>
      <c r="I2638" s="228"/>
      <c r="J2638" s="228"/>
      <c r="K2638" s="228"/>
      <c r="L2638"/>
      <c r="M2638"/>
    </row>
    <row r="2639" spans="1:13" s="125" customFormat="1" x14ac:dyDescent="0.25">
      <c r="A2639" s="251"/>
      <c r="B2639" s="256"/>
      <c r="C2639" s="256"/>
      <c r="D2639" s="256"/>
      <c r="E2639" s="256"/>
      <c r="F2639" s="257"/>
      <c r="G2639" s="257"/>
      <c r="H2639" s="257"/>
      <c r="I2639" s="228"/>
      <c r="J2639" s="228"/>
      <c r="K2639" s="228"/>
      <c r="L2639"/>
      <c r="M2639"/>
    </row>
    <row r="2640" spans="1:13" s="125" customFormat="1" x14ac:dyDescent="0.25">
      <c r="A2640" s="251"/>
      <c r="B2640" s="256"/>
      <c r="C2640" s="256"/>
      <c r="D2640" s="256"/>
      <c r="E2640" s="256"/>
      <c r="F2640" s="257"/>
      <c r="G2640" s="257"/>
      <c r="H2640" s="257"/>
      <c r="I2640" s="228"/>
      <c r="J2640" s="228"/>
      <c r="K2640" s="228"/>
      <c r="L2640"/>
      <c r="M2640"/>
    </row>
    <row r="2641" spans="1:13" s="125" customFormat="1" x14ac:dyDescent="0.25">
      <c r="A2641" s="251"/>
      <c r="B2641" s="256"/>
      <c r="C2641" s="256"/>
      <c r="D2641" s="256"/>
      <c r="E2641" s="256"/>
      <c r="F2641" s="257"/>
      <c r="G2641" s="257"/>
      <c r="H2641" s="257"/>
      <c r="I2641" s="228"/>
      <c r="J2641" s="228"/>
      <c r="K2641" s="228"/>
      <c r="L2641"/>
      <c r="M2641"/>
    </row>
    <row r="2642" spans="1:13" s="125" customFormat="1" x14ac:dyDescent="0.25">
      <c r="A2642" s="251"/>
      <c r="B2642" s="256"/>
      <c r="C2642" s="256"/>
      <c r="D2642" s="256"/>
      <c r="E2642" s="256"/>
      <c r="F2642" s="257"/>
      <c r="G2642" s="257"/>
      <c r="H2642" s="257"/>
      <c r="I2642" s="228"/>
      <c r="J2642" s="228"/>
      <c r="K2642" s="228"/>
      <c r="L2642"/>
      <c r="M2642"/>
    </row>
    <row r="2643" spans="1:13" s="125" customFormat="1" x14ac:dyDescent="0.25">
      <c r="A2643" s="251"/>
      <c r="B2643" s="256"/>
      <c r="C2643" s="256"/>
      <c r="D2643" s="256"/>
      <c r="E2643" s="256"/>
      <c r="F2643" s="257"/>
      <c r="G2643" s="257"/>
      <c r="H2643" s="257"/>
      <c r="I2643" s="228"/>
      <c r="J2643" s="228"/>
      <c r="K2643" s="228"/>
      <c r="L2643"/>
      <c r="M2643"/>
    </row>
    <row r="2644" spans="1:13" s="125" customFormat="1" x14ac:dyDescent="0.25">
      <c r="A2644" s="251"/>
      <c r="B2644" s="256"/>
      <c r="C2644" s="256"/>
      <c r="D2644" s="256"/>
      <c r="E2644" s="256"/>
      <c r="F2644" s="257"/>
      <c r="G2644" s="257"/>
      <c r="H2644" s="257"/>
      <c r="I2644" s="228"/>
      <c r="J2644" s="228"/>
      <c r="K2644" s="228"/>
      <c r="L2644"/>
      <c r="M2644"/>
    </row>
    <row r="2645" spans="1:13" s="125" customFormat="1" x14ac:dyDescent="0.25">
      <c r="A2645" s="251"/>
      <c r="B2645" s="256"/>
      <c r="C2645" s="256"/>
      <c r="D2645" s="256"/>
      <c r="E2645" s="256"/>
      <c r="F2645" s="257"/>
      <c r="G2645" s="257"/>
      <c r="H2645" s="257"/>
      <c r="I2645" s="228"/>
      <c r="J2645" s="228"/>
      <c r="K2645" s="228"/>
      <c r="L2645"/>
      <c r="M2645"/>
    </row>
    <row r="2646" spans="1:13" s="125" customFormat="1" x14ac:dyDescent="0.25">
      <c r="A2646" s="251"/>
      <c r="B2646" s="256"/>
      <c r="C2646" s="256"/>
      <c r="D2646" s="256"/>
      <c r="E2646" s="256"/>
      <c r="F2646" s="257"/>
      <c r="G2646" s="257"/>
      <c r="H2646" s="257"/>
      <c r="I2646" s="228"/>
      <c r="J2646" s="228"/>
      <c r="K2646" s="228"/>
      <c r="L2646"/>
      <c r="M2646"/>
    </row>
    <row r="2647" spans="1:13" s="125" customFormat="1" x14ac:dyDescent="0.25">
      <c r="A2647" s="251"/>
      <c r="B2647" s="256"/>
      <c r="C2647" s="256"/>
      <c r="D2647" s="256"/>
      <c r="E2647" s="256"/>
      <c r="F2647" s="257"/>
      <c r="G2647" s="257"/>
      <c r="H2647" s="257"/>
      <c r="I2647" s="228"/>
      <c r="J2647" s="228"/>
      <c r="K2647" s="228"/>
      <c r="L2647"/>
      <c r="M2647"/>
    </row>
    <row r="2648" spans="1:13" s="125" customFormat="1" x14ac:dyDescent="0.25">
      <c r="A2648" s="251"/>
      <c r="B2648" s="256"/>
      <c r="C2648" s="256"/>
      <c r="D2648" s="256"/>
      <c r="E2648" s="256"/>
      <c r="F2648" s="257"/>
      <c r="G2648" s="257"/>
      <c r="H2648" s="257"/>
      <c r="I2648" s="228"/>
      <c r="J2648" s="228"/>
      <c r="K2648" s="228"/>
      <c r="L2648"/>
      <c r="M2648"/>
    </row>
    <row r="2649" spans="1:13" s="125" customFormat="1" x14ac:dyDescent="0.25">
      <c r="A2649" s="251"/>
      <c r="B2649" s="256"/>
      <c r="C2649" s="256"/>
      <c r="D2649" s="256"/>
      <c r="E2649" s="256"/>
      <c r="F2649" s="257"/>
      <c r="G2649" s="257"/>
      <c r="H2649" s="257"/>
      <c r="I2649" s="228"/>
      <c r="J2649" s="228"/>
      <c r="K2649" s="228"/>
      <c r="L2649"/>
      <c r="M2649"/>
    </row>
    <row r="2650" spans="1:13" s="125" customFormat="1" x14ac:dyDescent="0.25">
      <c r="A2650" s="251"/>
      <c r="B2650" s="256"/>
      <c r="C2650" s="256"/>
      <c r="D2650" s="256"/>
      <c r="E2650" s="256"/>
      <c r="F2650" s="257"/>
      <c r="G2650" s="257"/>
      <c r="H2650" s="257"/>
      <c r="I2650" s="228"/>
      <c r="J2650" s="228"/>
      <c r="K2650" s="228"/>
      <c r="L2650"/>
      <c r="M2650"/>
    </row>
    <row r="2651" spans="1:13" s="125" customFormat="1" x14ac:dyDescent="0.25">
      <c r="A2651" s="251"/>
      <c r="B2651" s="256"/>
      <c r="C2651" s="256"/>
      <c r="D2651" s="256"/>
      <c r="E2651" s="256"/>
      <c r="F2651" s="257"/>
      <c r="G2651" s="257"/>
      <c r="H2651" s="257"/>
      <c r="I2651" s="228"/>
      <c r="J2651" s="228"/>
      <c r="K2651" s="228"/>
      <c r="L2651"/>
      <c r="M2651"/>
    </row>
    <row r="2652" spans="1:13" s="125" customFormat="1" x14ac:dyDescent="0.25">
      <c r="A2652" s="251"/>
      <c r="B2652" s="256"/>
      <c r="C2652" s="256"/>
      <c r="D2652" s="256"/>
      <c r="E2652" s="256"/>
      <c r="F2652" s="257"/>
      <c r="G2652" s="257"/>
      <c r="H2652" s="257"/>
      <c r="I2652" s="228"/>
      <c r="J2652" s="228"/>
      <c r="K2652" s="228"/>
      <c r="L2652"/>
      <c r="M2652"/>
    </row>
    <row r="2653" spans="1:13" s="125" customFormat="1" x14ac:dyDescent="0.25">
      <c r="A2653" s="251"/>
      <c r="B2653" s="256"/>
      <c r="C2653" s="256"/>
      <c r="D2653" s="256"/>
      <c r="E2653" s="256"/>
      <c r="F2653" s="257"/>
      <c r="G2653" s="257"/>
      <c r="H2653" s="257"/>
      <c r="I2653" s="228"/>
      <c r="J2653" s="228"/>
      <c r="K2653" s="228"/>
      <c r="L2653"/>
      <c r="M2653"/>
    </row>
    <row r="2654" spans="1:13" s="125" customFormat="1" x14ac:dyDescent="0.25">
      <c r="A2654" s="251"/>
      <c r="B2654" s="256"/>
      <c r="C2654" s="256"/>
      <c r="D2654" s="256"/>
      <c r="E2654" s="256"/>
      <c r="F2654" s="257"/>
      <c r="G2654" s="257"/>
      <c r="H2654" s="257"/>
      <c r="I2654" s="228"/>
      <c r="J2654" s="228"/>
      <c r="K2654" s="228"/>
      <c r="L2654"/>
      <c r="M2654"/>
    </row>
    <row r="2655" spans="1:13" s="125" customFormat="1" x14ac:dyDescent="0.25">
      <c r="A2655" s="251"/>
      <c r="B2655" s="256"/>
      <c r="C2655" s="256"/>
      <c r="D2655" s="256"/>
      <c r="E2655" s="256"/>
      <c r="F2655" s="257"/>
      <c r="G2655" s="257"/>
      <c r="H2655" s="257"/>
      <c r="I2655" s="228"/>
      <c r="J2655" s="228"/>
      <c r="K2655" s="228"/>
      <c r="L2655"/>
      <c r="M2655"/>
    </row>
    <row r="2656" spans="1:13" s="125" customFormat="1" x14ac:dyDescent="0.25">
      <c r="A2656" s="251"/>
      <c r="B2656" s="256"/>
      <c r="C2656" s="256"/>
      <c r="D2656" s="256"/>
      <c r="E2656" s="256"/>
      <c r="F2656" s="257"/>
      <c r="G2656" s="257"/>
      <c r="H2656" s="257"/>
      <c r="I2656" s="228"/>
      <c r="J2656" s="228"/>
      <c r="K2656" s="228"/>
      <c r="L2656"/>
      <c r="M2656"/>
    </row>
    <row r="2657" spans="1:13" s="125" customFormat="1" x14ac:dyDescent="0.25">
      <c r="A2657" s="251"/>
      <c r="B2657" s="256"/>
      <c r="C2657" s="256"/>
      <c r="D2657" s="256"/>
      <c r="E2657" s="256"/>
      <c r="F2657" s="257"/>
      <c r="G2657" s="257"/>
      <c r="H2657" s="257"/>
      <c r="I2657" s="228"/>
      <c r="J2657" s="228"/>
      <c r="K2657" s="228"/>
      <c r="L2657"/>
      <c r="M2657"/>
    </row>
    <row r="2658" spans="1:13" s="125" customFormat="1" x14ac:dyDescent="0.25">
      <c r="A2658" s="251"/>
      <c r="B2658" s="256"/>
      <c r="C2658" s="256"/>
      <c r="D2658" s="256"/>
      <c r="E2658" s="256"/>
      <c r="F2658" s="257"/>
      <c r="G2658" s="257"/>
      <c r="H2658" s="257"/>
      <c r="I2658" s="228"/>
      <c r="J2658" s="228"/>
      <c r="K2658" s="228"/>
      <c r="L2658"/>
      <c r="M2658"/>
    </row>
    <row r="2659" spans="1:13" s="125" customFormat="1" x14ac:dyDescent="0.25">
      <c r="A2659" s="251"/>
      <c r="B2659" s="256"/>
      <c r="C2659" s="256"/>
      <c r="D2659" s="256"/>
      <c r="E2659" s="256"/>
      <c r="F2659" s="257"/>
      <c r="G2659" s="257"/>
      <c r="H2659" s="257"/>
      <c r="I2659" s="228"/>
      <c r="J2659" s="228"/>
      <c r="K2659" s="228"/>
      <c r="L2659"/>
      <c r="M2659"/>
    </row>
    <row r="2660" spans="1:13" s="125" customFormat="1" x14ac:dyDescent="0.25">
      <c r="A2660" s="251"/>
      <c r="B2660" s="256"/>
      <c r="C2660" s="256"/>
      <c r="D2660" s="256"/>
      <c r="E2660" s="256"/>
      <c r="F2660" s="257"/>
      <c r="G2660" s="257"/>
      <c r="H2660" s="257"/>
      <c r="I2660" s="228"/>
      <c r="J2660" s="228"/>
      <c r="K2660" s="228"/>
      <c r="L2660"/>
      <c r="M2660"/>
    </row>
    <row r="2661" spans="1:13" s="125" customFormat="1" x14ac:dyDescent="0.25">
      <c r="A2661" s="251"/>
      <c r="B2661" s="256"/>
      <c r="C2661" s="256"/>
      <c r="D2661" s="256"/>
      <c r="E2661" s="256"/>
      <c r="F2661" s="257"/>
      <c r="G2661" s="257"/>
      <c r="H2661" s="257"/>
      <c r="I2661" s="228"/>
      <c r="J2661" s="228"/>
      <c r="K2661" s="228"/>
      <c r="L2661"/>
      <c r="M2661"/>
    </row>
    <row r="2662" spans="1:13" s="125" customFormat="1" x14ac:dyDescent="0.25">
      <c r="A2662" s="251"/>
      <c r="B2662" s="256"/>
      <c r="C2662" s="256"/>
      <c r="D2662" s="256"/>
      <c r="E2662" s="256"/>
      <c r="F2662" s="257"/>
      <c r="G2662" s="257"/>
      <c r="H2662" s="257"/>
      <c r="I2662" s="228"/>
      <c r="J2662" s="228"/>
      <c r="K2662" s="228"/>
      <c r="L2662"/>
      <c r="M2662"/>
    </row>
    <row r="2663" spans="1:13" s="125" customFormat="1" x14ac:dyDescent="0.25">
      <c r="A2663" s="251"/>
      <c r="B2663" s="256"/>
      <c r="C2663" s="256"/>
      <c r="D2663" s="256"/>
      <c r="E2663" s="256"/>
      <c r="F2663" s="257"/>
      <c r="G2663" s="257"/>
      <c r="H2663" s="257"/>
      <c r="I2663" s="228"/>
      <c r="J2663" s="228"/>
      <c r="K2663" s="228"/>
      <c r="L2663"/>
      <c r="M2663"/>
    </row>
    <row r="2664" spans="1:13" s="125" customFormat="1" x14ac:dyDescent="0.25">
      <c r="A2664" s="251"/>
      <c r="B2664" s="256"/>
      <c r="C2664" s="256"/>
      <c r="D2664" s="256"/>
      <c r="E2664" s="256"/>
      <c r="F2664" s="257"/>
      <c r="G2664" s="257"/>
      <c r="H2664" s="257"/>
      <c r="I2664" s="228"/>
      <c r="J2664" s="228"/>
      <c r="K2664" s="228"/>
      <c r="L2664"/>
      <c r="M2664"/>
    </row>
    <row r="2665" spans="1:13" s="125" customFormat="1" x14ac:dyDescent="0.25">
      <c r="A2665" s="251"/>
      <c r="B2665" s="256"/>
      <c r="C2665" s="256"/>
      <c r="D2665" s="256"/>
      <c r="E2665" s="256"/>
      <c r="F2665" s="257"/>
      <c r="G2665" s="257"/>
      <c r="H2665" s="257"/>
      <c r="I2665" s="228"/>
      <c r="J2665" s="228"/>
      <c r="K2665" s="228"/>
      <c r="L2665"/>
      <c r="M2665"/>
    </row>
    <row r="2666" spans="1:13" s="125" customFormat="1" x14ac:dyDescent="0.25">
      <c r="A2666" s="251"/>
      <c r="B2666" s="256"/>
      <c r="C2666" s="256"/>
      <c r="D2666" s="256"/>
      <c r="E2666" s="256"/>
      <c r="F2666" s="257"/>
      <c r="G2666" s="257"/>
      <c r="H2666" s="257"/>
      <c r="I2666" s="228"/>
      <c r="J2666" s="228"/>
      <c r="K2666" s="228"/>
      <c r="L2666"/>
      <c r="M2666"/>
    </row>
    <row r="2667" spans="1:13" s="125" customFormat="1" x14ac:dyDescent="0.25">
      <c r="A2667" s="251"/>
      <c r="B2667" s="256"/>
      <c r="C2667" s="256"/>
      <c r="D2667" s="256"/>
      <c r="E2667" s="256"/>
      <c r="F2667" s="257"/>
      <c r="G2667" s="257"/>
      <c r="H2667" s="257"/>
      <c r="I2667" s="228"/>
      <c r="J2667" s="228"/>
      <c r="K2667" s="228"/>
      <c r="L2667"/>
      <c r="M2667"/>
    </row>
    <row r="2668" spans="1:13" s="125" customFormat="1" x14ac:dyDescent="0.25">
      <c r="A2668" s="251"/>
      <c r="B2668" s="256"/>
      <c r="C2668" s="256"/>
      <c r="D2668" s="256"/>
      <c r="E2668" s="256"/>
      <c r="F2668" s="257"/>
      <c r="G2668" s="257"/>
      <c r="H2668" s="257"/>
      <c r="I2668" s="228"/>
      <c r="J2668" s="228"/>
      <c r="K2668" s="228"/>
      <c r="L2668"/>
      <c r="M2668"/>
    </row>
    <row r="2669" spans="1:13" s="125" customFormat="1" x14ac:dyDescent="0.25">
      <c r="A2669" s="251"/>
      <c r="B2669" s="256"/>
      <c r="C2669" s="256"/>
      <c r="D2669" s="256"/>
      <c r="E2669" s="256"/>
      <c r="F2669" s="257"/>
      <c r="G2669" s="257"/>
      <c r="H2669" s="257"/>
      <c r="I2669" s="228"/>
      <c r="J2669" s="228"/>
      <c r="K2669" s="228"/>
      <c r="L2669"/>
      <c r="M2669"/>
    </row>
    <row r="2670" spans="1:13" s="125" customFormat="1" x14ac:dyDescent="0.25">
      <c r="A2670" s="251"/>
      <c r="B2670" s="256"/>
      <c r="C2670" s="256"/>
      <c r="D2670" s="256"/>
      <c r="E2670" s="256"/>
      <c r="F2670" s="257"/>
      <c r="G2670" s="257"/>
      <c r="H2670" s="257"/>
      <c r="I2670" s="228"/>
      <c r="J2670" s="228"/>
      <c r="K2670" s="228"/>
      <c r="L2670"/>
      <c r="M2670"/>
    </row>
    <row r="2671" spans="1:13" s="125" customFormat="1" x14ac:dyDescent="0.25">
      <c r="A2671" s="251"/>
      <c r="B2671" s="256"/>
      <c r="C2671" s="256"/>
      <c r="D2671" s="256"/>
      <c r="E2671" s="256"/>
      <c r="F2671" s="257"/>
      <c r="G2671" s="257"/>
      <c r="H2671" s="257"/>
      <c r="I2671" s="228"/>
      <c r="J2671" s="228"/>
      <c r="K2671" s="228"/>
      <c r="L2671"/>
      <c r="M2671"/>
    </row>
    <row r="2672" spans="1:13" s="125" customFormat="1" x14ac:dyDescent="0.25">
      <c r="A2672" s="251"/>
      <c r="B2672" s="256"/>
      <c r="C2672" s="256"/>
      <c r="D2672" s="256"/>
      <c r="E2672" s="256"/>
      <c r="F2672" s="257"/>
      <c r="G2672" s="257"/>
      <c r="H2672" s="257"/>
      <c r="I2672" s="228"/>
      <c r="J2672" s="228"/>
      <c r="K2672" s="228"/>
      <c r="L2672"/>
      <c r="M2672"/>
    </row>
    <row r="2673" spans="1:13" s="125" customFormat="1" x14ac:dyDescent="0.25">
      <c r="A2673" s="251"/>
      <c r="B2673" s="256"/>
      <c r="C2673" s="256"/>
      <c r="D2673" s="256"/>
      <c r="E2673" s="256"/>
      <c r="F2673" s="257"/>
      <c r="G2673" s="257"/>
      <c r="H2673" s="257"/>
      <c r="I2673" s="228"/>
      <c r="J2673" s="228"/>
      <c r="K2673" s="228"/>
      <c r="L2673"/>
      <c r="M2673"/>
    </row>
    <row r="2674" spans="1:13" s="125" customFormat="1" x14ac:dyDescent="0.25">
      <c r="A2674" s="251"/>
      <c r="B2674" s="256"/>
      <c r="C2674" s="256"/>
      <c r="D2674" s="256"/>
      <c r="E2674" s="256"/>
      <c r="F2674" s="257"/>
      <c r="G2674" s="257"/>
      <c r="H2674" s="257"/>
      <c r="I2674" s="228"/>
      <c r="J2674" s="228"/>
      <c r="K2674" s="228"/>
      <c r="L2674"/>
      <c r="M2674"/>
    </row>
    <row r="2675" spans="1:13" s="125" customFormat="1" x14ac:dyDescent="0.25">
      <c r="A2675" s="251"/>
      <c r="B2675" s="256"/>
      <c r="C2675" s="256"/>
      <c r="D2675" s="256"/>
      <c r="E2675" s="256"/>
      <c r="F2675" s="257"/>
      <c r="G2675" s="257"/>
      <c r="H2675" s="257"/>
      <c r="I2675" s="228"/>
      <c r="J2675" s="228"/>
      <c r="K2675" s="228"/>
      <c r="L2675"/>
      <c r="M2675"/>
    </row>
    <row r="2676" spans="1:13" s="125" customFormat="1" x14ac:dyDescent="0.25">
      <c r="A2676" s="251"/>
      <c r="B2676" s="256"/>
      <c r="C2676" s="256"/>
      <c r="D2676" s="256"/>
      <c r="E2676" s="256"/>
      <c r="F2676" s="257"/>
      <c r="G2676" s="257"/>
      <c r="H2676" s="257"/>
      <c r="I2676" s="228"/>
      <c r="J2676" s="228"/>
      <c r="K2676" s="228"/>
      <c r="L2676"/>
      <c r="M2676"/>
    </row>
    <row r="2677" spans="1:13" s="125" customFormat="1" x14ac:dyDescent="0.25">
      <c r="A2677" s="251"/>
      <c r="B2677" s="256"/>
      <c r="C2677" s="256"/>
      <c r="D2677" s="256"/>
      <c r="E2677" s="256"/>
      <c r="F2677" s="257"/>
      <c r="G2677" s="257"/>
      <c r="H2677" s="257"/>
      <c r="I2677" s="228"/>
      <c r="J2677" s="228"/>
      <c r="K2677" s="228"/>
      <c r="L2677"/>
      <c r="M2677"/>
    </row>
    <row r="2678" spans="1:13" s="125" customFormat="1" x14ac:dyDescent="0.25">
      <c r="A2678" s="251"/>
      <c r="B2678" s="256"/>
      <c r="C2678" s="256"/>
      <c r="D2678" s="256"/>
      <c r="E2678" s="256"/>
      <c r="F2678" s="257"/>
      <c r="G2678" s="257"/>
      <c r="H2678" s="257"/>
      <c r="I2678" s="228"/>
      <c r="J2678" s="228"/>
      <c r="K2678" s="228"/>
      <c r="L2678"/>
      <c r="M2678"/>
    </row>
    <row r="2679" spans="1:13" s="125" customFormat="1" x14ac:dyDescent="0.25">
      <c r="A2679" s="251"/>
      <c r="B2679" s="256"/>
      <c r="C2679" s="256"/>
      <c r="D2679" s="256"/>
      <c r="E2679" s="256"/>
      <c r="F2679" s="257"/>
      <c r="G2679" s="257"/>
      <c r="H2679" s="257"/>
      <c r="I2679" s="228"/>
      <c r="J2679" s="228"/>
      <c r="K2679" s="228"/>
      <c r="L2679"/>
      <c r="M2679"/>
    </row>
    <row r="2680" spans="1:13" s="125" customFormat="1" x14ac:dyDescent="0.25">
      <c r="A2680" s="251"/>
      <c r="B2680" s="256"/>
      <c r="C2680" s="256"/>
      <c r="D2680" s="256"/>
      <c r="E2680" s="256"/>
      <c r="F2680" s="257"/>
      <c r="G2680" s="257"/>
      <c r="H2680" s="257"/>
      <c r="I2680" s="228"/>
      <c r="J2680" s="228"/>
      <c r="K2680" s="228"/>
      <c r="L2680"/>
      <c r="M2680"/>
    </row>
    <row r="2681" spans="1:13" s="125" customFormat="1" x14ac:dyDescent="0.25">
      <c r="A2681" s="251"/>
      <c r="B2681" s="256"/>
      <c r="C2681" s="256"/>
      <c r="D2681" s="256"/>
      <c r="E2681" s="256"/>
      <c r="F2681" s="257"/>
      <c r="G2681" s="257"/>
      <c r="H2681" s="257"/>
      <c r="I2681" s="228"/>
      <c r="J2681" s="228"/>
      <c r="K2681" s="228"/>
      <c r="L2681"/>
      <c r="M2681"/>
    </row>
    <row r="2682" spans="1:13" s="125" customFormat="1" x14ac:dyDescent="0.25">
      <c r="A2682" s="251"/>
      <c r="B2682" s="256"/>
      <c r="C2682" s="256"/>
      <c r="D2682" s="256"/>
      <c r="E2682" s="256"/>
      <c r="F2682" s="257"/>
      <c r="G2682" s="257"/>
      <c r="H2682" s="257"/>
      <c r="I2682" s="228"/>
      <c r="J2682" s="228"/>
      <c r="K2682" s="228"/>
      <c r="L2682"/>
      <c r="M2682"/>
    </row>
    <row r="2683" spans="1:13" s="125" customFormat="1" x14ac:dyDescent="0.25">
      <c r="A2683" s="251"/>
      <c r="B2683" s="256"/>
      <c r="C2683" s="256"/>
      <c r="D2683" s="256"/>
      <c r="E2683" s="256"/>
      <c r="F2683" s="257"/>
      <c r="G2683" s="257"/>
      <c r="H2683" s="257"/>
      <c r="I2683" s="228"/>
      <c r="J2683" s="228"/>
      <c r="K2683" s="228"/>
      <c r="L2683"/>
      <c r="M2683"/>
    </row>
    <row r="2684" spans="1:13" s="125" customFormat="1" x14ac:dyDescent="0.25">
      <c r="A2684" s="251"/>
      <c r="B2684" s="256"/>
      <c r="C2684" s="256"/>
      <c r="D2684" s="256"/>
      <c r="E2684" s="256"/>
      <c r="F2684" s="257"/>
      <c r="G2684" s="257"/>
      <c r="H2684" s="257"/>
      <c r="I2684" s="228"/>
      <c r="J2684" s="228"/>
      <c r="K2684" s="228"/>
      <c r="L2684"/>
      <c r="M2684"/>
    </row>
    <row r="2685" spans="1:13" s="125" customFormat="1" x14ac:dyDescent="0.25">
      <c r="A2685" s="251"/>
      <c r="B2685" s="256"/>
      <c r="C2685" s="256"/>
      <c r="D2685" s="256"/>
      <c r="E2685" s="256"/>
      <c r="F2685" s="257"/>
      <c r="G2685" s="257"/>
      <c r="H2685" s="257"/>
      <c r="I2685" s="228"/>
      <c r="J2685" s="228"/>
      <c r="K2685" s="228"/>
      <c r="L2685"/>
      <c r="M2685"/>
    </row>
    <row r="2686" spans="1:13" s="125" customFormat="1" x14ac:dyDescent="0.25">
      <c r="A2686" s="251"/>
      <c r="B2686" s="256"/>
      <c r="C2686" s="256"/>
      <c r="D2686" s="256"/>
      <c r="E2686" s="256"/>
      <c r="F2686" s="257"/>
      <c r="G2686" s="257"/>
      <c r="H2686" s="257"/>
      <c r="I2686" s="228"/>
      <c r="J2686" s="228"/>
      <c r="K2686" s="228"/>
      <c r="L2686"/>
      <c r="M2686"/>
    </row>
    <row r="2687" spans="1:13" s="125" customFormat="1" x14ac:dyDescent="0.25">
      <c r="A2687" s="251"/>
      <c r="B2687" s="256"/>
      <c r="C2687" s="256"/>
      <c r="D2687" s="256"/>
      <c r="E2687" s="256"/>
      <c r="F2687" s="257"/>
      <c r="G2687" s="257"/>
      <c r="H2687" s="257"/>
      <c r="I2687" s="228"/>
      <c r="J2687" s="228"/>
      <c r="K2687" s="228"/>
      <c r="L2687"/>
      <c r="M2687"/>
    </row>
    <row r="2688" spans="1:13" s="125" customFormat="1" x14ac:dyDescent="0.25">
      <c r="A2688" s="251"/>
      <c r="B2688" s="256"/>
      <c r="C2688" s="256"/>
      <c r="D2688" s="256"/>
      <c r="E2688" s="256"/>
      <c r="F2688" s="257"/>
      <c r="G2688" s="257"/>
      <c r="H2688" s="257"/>
      <c r="I2688" s="228"/>
      <c r="J2688" s="228"/>
      <c r="K2688" s="228"/>
      <c r="L2688"/>
      <c r="M2688"/>
    </row>
    <row r="2689" spans="1:13" s="125" customFormat="1" x14ac:dyDescent="0.25">
      <c r="A2689" s="251"/>
      <c r="B2689" s="256"/>
      <c r="C2689" s="256"/>
      <c r="D2689" s="256"/>
      <c r="E2689" s="256"/>
      <c r="F2689" s="257"/>
      <c r="G2689" s="257"/>
      <c r="H2689" s="257"/>
      <c r="I2689" s="228"/>
      <c r="J2689" s="228"/>
      <c r="K2689" s="228"/>
      <c r="L2689"/>
      <c r="M2689"/>
    </row>
    <row r="2690" spans="1:13" s="125" customFormat="1" x14ac:dyDescent="0.25">
      <c r="A2690" s="251"/>
      <c r="B2690" s="256"/>
      <c r="C2690" s="256"/>
      <c r="D2690" s="256"/>
      <c r="E2690" s="256"/>
      <c r="F2690" s="257"/>
      <c r="G2690" s="257"/>
      <c r="H2690" s="257"/>
      <c r="I2690" s="228"/>
      <c r="J2690" s="228"/>
      <c r="K2690" s="228"/>
      <c r="L2690"/>
      <c r="M2690"/>
    </row>
    <row r="2691" spans="1:13" s="125" customFormat="1" x14ac:dyDescent="0.25">
      <c r="A2691" s="251"/>
      <c r="B2691" s="256"/>
      <c r="C2691" s="256"/>
      <c r="D2691" s="256"/>
      <c r="E2691" s="256"/>
      <c r="F2691" s="257"/>
      <c r="G2691" s="257"/>
      <c r="H2691" s="257"/>
      <c r="I2691" s="228"/>
      <c r="J2691" s="228"/>
      <c r="K2691" s="228"/>
      <c r="L2691"/>
      <c r="M2691"/>
    </row>
    <row r="2692" spans="1:13" s="125" customFormat="1" x14ac:dyDescent="0.25">
      <c r="A2692" s="251"/>
      <c r="B2692" s="256"/>
      <c r="C2692" s="256"/>
      <c r="D2692" s="256"/>
      <c r="E2692" s="256"/>
      <c r="F2692" s="257"/>
      <c r="G2692" s="257"/>
      <c r="H2692" s="257"/>
      <c r="I2692" s="228"/>
      <c r="J2692" s="228"/>
      <c r="K2692" s="228"/>
      <c r="L2692"/>
      <c r="M2692"/>
    </row>
    <row r="2693" spans="1:13" s="125" customFormat="1" x14ac:dyDescent="0.25">
      <c r="A2693" s="251"/>
      <c r="B2693" s="256"/>
      <c r="C2693" s="256"/>
      <c r="D2693" s="256"/>
      <c r="E2693" s="256"/>
      <c r="F2693" s="257"/>
      <c r="G2693" s="257"/>
      <c r="H2693" s="257"/>
      <c r="I2693" s="228"/>
      <c r="J2693" s="228"/>
      <c r="K2693" s="228"/>
      <c r="L2693"/>
      <c r="M2693"/>
    </row>
    <row r="2694" spans="1:13" s="125" customFormat="1" x14ac:dyDescent="0.25">
      <c r="A2694" s="251"/>
      <c r="B2694" s="256"/>
      <c r="C2694" s="256"/>
      <c r="D2694" s="256"/>
      <c r="E2694" s="256"/>
      <c r="F2694" s="257"/>
      <c r="G2694" s="257"/>
      <c r="H2694" s="257"/>
      <c r="I2694" s="228"/>
      <c r="J2694" s="228"/>
      <c r="K2694" s="228"/>
      <c r="L2694"/>
      <c r="M2694"/>
    </row>
    <row r="2695" spans="1:13" s="125" customFormat="1" x14ac:dyDescent="0.25">
      <c r="A2695" s="251"/>
      <c r="B2695" s="256"/>
      <c r="C2695" s="256"/>
      <c r="D2695" s="256"/>
      <c r="E2695" s="256"/>
      <c r="F2695" s="257"/>
      <c r="G2695" s="257"/>
      <c r="H2695" s="257"/>
      <c r="I2695" s="228"/>
      <c r="J2695" s="228"/>
      <c r="K2695" s="228"/>
      <c r="L2695"/>
      <c r="M2695"/>
    </row>
    <row r="2696" spans="1:13" s="125" customFormat="1" x14ac:dyDescent="0.25">
      <c r="A2696" s="251"/>
      <c r="B2696" s="256"/>
      <c r="C2696" s="256"/>
      <c r="D2696" s="256"/>
      <c r="E2696" s="256"/>
      <c r="F2696" s="257"/>
      <c r="G2696" s="257"/>
      <c r="H2696" s="257"/>
      <c r="I2696" s="228"/>
      <c r="J2696" s="228"/>
      <c r="K2696" s="228"/>
      <c r="L2696"/>
      <c r="M2696"/>
    </row>
    <row r="2697" spans="1:13" s="125" customFormat="1" x14ac:dyDescent="0.25">
      <c r="A2697" s="251"/>
      <c r="B2697" s="256"/>
      <c r="C2697" s="256"/>
      <c r="D2697" s="256"/>
      <c r="E2697" s="256"/>
      <c r="F2697" s="257"/>
      <c r="G2697" s="257"/>
      <c r="H2697" s="257"/>
      <c r="I2697" s="228"/>
      <c r="J2697" s="228"/>
      <c r="K2697" s="228"/>
      <c r="L2697"/>
      <c r="M2697"/>
    </row>
    <row r="2698" spans="1:13" s="125" customFormat="1" x14ac:dyDescent="0.25">
      <c r="A2698" s="251"/>
      <c r="B2698" s="256"/>
      <c r="C2698" s="256"/>
      <c r="D2698" s="256"/>
      <c r="E2698" s="256"/>
      <c r="F2698" s="257"/>
      <c r="G2698" s="257"/>
      <c r="H2698" s="257"/>
      <c r="I2698" s="228"/>
      <c r="J2698" s="228"/>
      <c r="K2698" s="228"/>
      <c r="L2698"/>
      <c r="M2698"/>
    </row>
    <row r="2699" spans="1:13" s="125" customFormat="1" x14ac:dyDescent="0.25">
      <c r="A2699" s="251"/>
      <c r="B2699" s="256"/>
      <c r="C2699" s="256"/>
      <c r="D2699" s="256"/>
      <c r="E2699" s="256"/>
      <c r="F2699" s="257"/>
      <c r="G2699" s="257"/>
      <c r="H2699" s="257"/>
      <c r="I2699" s="228"/>
      <c r="J2699" s="228"/>
      <c r="K2699" s="228"/>
      <c r="L2699"/>
      <c r="M2699"/>
    </row>
    <row r="2700" spans="1:13" s="125" customFormat="1" x14ac:dyDescent="0.25">
      <c r="A2700" s="251"/>
      <c r="B2700" s="256"/>
      <c r="C2700" s="256"/>
      <c r="D2700" s="256"/>
      <c r="E2700" s="256"/>
      <c r="F2700" s="257"/>
      <c r="G2700" s="257"/>
      <c r="H2700" s="257"/>
      <c r="I2700" s="228"/>
      <c r="J2700" s="228"/>
      <c r="K2700" s="228"/>
      <c r="L2700"/>
      <c r="M2700"/>
    </row>
    <row r="2701" spans="1:13" s="125" customFormat="1" x14ac:dyDescent="0.25">
      <c r="A2701" s="251"/>
      <c r="B2701" s="256"/>
      <c r="C2701" s="256"/>
      <c r="D2701" s="256"/>
      <c r="E2701" s="256"/>
      <c r="F2701" s="257"/>
      <c r="G2701" s="257"/>
      <c r="H2701" s="257"/>
      <c r="I2701" s="228"/>
      <c r="J2701" s="228"/>
      <c r="K2701" s="228"/>
      <c r="L2701"/>
      <c r="M2701"/>
    </row>
    <row r="2702" spans="1:13" s="125" customFormat="1" x14ac:dyDescent="0.25">
      <c r="A2702" s="251"/>
      <c r="B2702" s="256"/>
      <c r="C2702" s="256"/>
      <c r="D2702" s="256"/>
      <c r="E2702" s="256"/>
      <c r="F2702" s="257"/>
      <c r="G2702" s="257"/>
      <c r="H2702" s="257"/>
      <c r="I2702" s="228"/>
      <c r="J2702" s="228"/>
      <c r="K2702" s="228"/>
      <c r="L2702"/>
      <c r="M2702"/>
    </row>
    <row r="2703" spans="1:13" s="125" customFormat="1" x14ac:dyDescent="0.25">
      <c r="A2703" s="251"/>
      <c r="B2703" s="256"/>
      <c r="C2703" s="256"/>
      <c r="D2703" s="256"/>
      <c r="E2703" s="256"/>
      <c r="F2703" s="257"/>
      <c r="G2703" s="257"/>
      <c r="H2703" s="257"/>
      <c r="I2703" s="228"/>
      <c r="J2703" s="228"/>
      <c r="K2703" s="228"/>
      <c r="L2703"/>
      <c r="M2703"/>
    </row>
    <row r="2704" spans="1:13" s="125" customFormat="1" x14ac:dyDescent="0.25">
      <c r="A2704" s="251"/>
      <c r="B2704" s="256"/>
      <c r="C2704" s="256"/>
      <c r="D2704" s="256"/>
      <c r="E2704" s="256"/>
      <c r="F2704" s="257"/>
      <c r="G2704" s="257"/>
      <c r="H2704" s="257"/>
      <c r="I2704" s="228"/>
      <c r="J2704" s="228"/>
      <c r="K2704" s="228"/>
      <c r="L2704"/>
      <c r="M2704"/>
    </row>
    <row r="2705" spans="1:13" s="125" customFormat="1" x14ac:dyDescent="0.25">
      <c r="A2705" s="251"/>
      <c r="B2705" s="256"/>
      <c r="C2705" s="256"/>
      <c r="D2705" s="256"/>
      <c r="E2705" s="256"/>
      <c r="F2705" s="257"/>
      <c r="G2705" s="257"/>
      <c r="H2705" s="257"/>
      <c r="I2705" s="228"/>
      <c r="J2705" s="228"/>
      <c r="K2705" s="228"/>
      <c r="L2705"/>
      <c r="M2705"/>
    </row>
    <row r="2706" spans="1:13" s="125" customFormat="1" x14ac:dyDescent="0.25">
      <c r="A2706" s="251"/>
      <c r="B2706" s="256"/>
      <c r="C2706" s="256"/>
      <c r="D2706" s="256"/>
      <c r="E2706" s="256"/>
      <c r="F2706" s="257"/>
      <c r="G2706" s="257"/>
      <c r="H2706" s="257"/>
      <c r="I2706" s="228"/>
      <c r="J2706" s="228"/>
      <c r="K2706" s="228"/>
      <c r="L2706"/>
      <c r="M2706"/>
    </row>
    <row r="2707" spans="1:13" s="125" customFormat="1" x14ac:dyDescent="0.25">
      <c r="A2707" s="251"/>
      <c r="B2707" s="256"/>
      <c r="C2707" s="256"/>
      <c r="D2707" s="256"/>
      <c r="E2707" s="256"/>
      <c r="F2707" s="257"/>
      <c r="G2707" s="257"/>
      <c r="H2707" s="257"/>
      <c r="I2707" s="228"/>
      <c r="J2707" s="228"/>
      <c r="K2707" s="228"/>
      <c r="L2707"/>
      <c r="M2707"/>
    </row>
    <row r="2708" spans="1:13" s="125" customFormat="1" x14ac:dyDescent="0.25">
      <c r="A2708" s="251"/>
      <c r="B2708" s="256"/>
      <c r="C2708" s="256"/>
      <c r="D2708" s="256"/>
      <c r="E2708" s="256"/>
      <c r="F2708" s="257"/>
      <c r="G2708" s="257"/>
      <c r="H2708" s="257"/>
      <c r="I2708" s="228"/>
      <c r="J2708" s="228"/>
      <c r="K2708" s="228"/>
      <c r="L2708"/>
      <c r="M2708"/>
    </row>
    <row r="2709" spans="1:13" s="125" customFormat="1" x14ac:dyDescent="0.25">
      <c r="A2709" s="251"/>
      <c r="B2709" s="256"/>
      <c r="C2709" s="256"/>
      <c r="D2709" s="256"/>
      <c r="E2709" s="256"/>
      <c r="F2709" s="257"/>
      <c r="G2709" s="257"/>
      <c r="H2709" s="257"/>
      <c r="I2709" s="228"/>
      <c r="J2709" s="228"/>
      <c r="K2709" s="228"/>
      <c r="L2709"/>
      <c r="M2709"/>
    </row>
    <row r="2710" spans="1:13" s="125" customFormat="1" x14ac:dyDescent="0.25">
      <c r="A2710" s="251"/>
      <c r="B2710" s="256"/>
      <c r="C2710" s="256"/>
      <c r="D2710" s="256"/>
      <c r="E2710" s="256"/>
      <c r="F2710" s="257"/>
      <c r="G2710" s="257"/>
      <c r="H2710" s="257"/>
      <c r="I2710" s="228"/>
      <c r="J2710" s="228"/>
      <c r="K2710" s="228"/>
      <c r="L2710"/>
      <c r="M2710"/>
    </row>
    <row r="2711" spans="1:13" s="125" customFormat="1" x14ac:dyDescent="0.25">
      <c r="A2711" s="251"/>
      <c r="B2711" s="256"/>
      <c r="C2711" s="256"/>
      <c r="D2711" s="256"/>
      <c r="E2711" s="256"/>
      <c r="F2711" s="257"/>
      <c r="G2711" s="257"/>
      <c r="H2711" s="257"/>
      <c r="I2711" s="228"/>
      <c r="J2711" s="228"/>
      <c r="K2711" s="228"/>
      <c r="L2711"/>
      <c r="M2711"/>
    </row>
    <row r="2712" spans="1:13" s="125" customFormat="1" x14ac:dyDescent="0.25">
      <c r="A2712" s="251"/>
      <c r="B2712" s="256"/>
      <c r="C2712" s="256"/>
      <c r="D2712" s="256"/>
      <c r="E2712" s="256"/>
      <c r="F2712" s="257"/>
      <c r="G2712" s="257"/>
      <c r="H2712" s="257"/>
      <c r="I2712" s="228"/>
      <c r="J2712" s="228"/>
      <c r="K2712" s="228"/>
      <c r="L2712"/>
      <c r="M2712"/>
    </row>
    <row r="2713" spans="1:13" s="125" customFormat="1" x14ac:dyDescent="0.25">
      <c r="A2713" s="251"/>
      <c r="B2713" s="256"/>
      <c r="C2713" s="256"/>
      <c r="D2713" s="256"/>
      <c r="E2713" s="256"/>
      <c r="F2713" s="257"/>
      <c r="G2713" s="257"/>
      <c r="H2713" s="257"/>
      <c r="I2713" s="228"/>
      <c r="J2713" s="228"/>
      <c r="K2713" s="228"/>
      <c r="L2713"/>
      <c r="M2713"/>
    </row>
    <row r="2714" spans="1:13" s="125" customFormat="1" x14ac:dyDescent="0.25">
      <c r="A2714" s="251"/>
      <c r="B2714" s="256"/>
      <c r="C2714" s="256"/>
      <c r="D2714" s="256"/>
      <c r="E2714" s="256"/>
      <c r="F2714" s="257"/>
      <c r="G2714" s="257"/>
      <c r="H2714" s="257"/>
      <c r="I2714" s="228"/>
      <c r="J2714" s="228"/>
      <c r="K2714" s="228"/>
      <c r="L2714"/>
      <c r="M2714"/>
    </row>
    <row r="2715" spans="1:13" s="125" customFormat="1" x14ac:dyDescent="0.25">
      <c r="A2715" s="251"/>
      <c r="B2715" s="256"/>
      <c r="C2715" s="256"/>
      <c r="D2715" s="256"/>
      <c r="E2715" s="256"/>
      <c r="F2715" s="257"/>
      <c r="G2715" s="257"/>
      <c r="H2715" s="257"/>
      <c r="I2715" s="228"/>
      <c r="J2715" s="228"/>
      <c r="K2715" s="228"/>
      <c r="L2715"/>
      <c r="M2715"/>
    </row>
    <row r="2716" spans="1:13" s="125" customFormat="1" x14ac:dyDescent="0.25">
      <c r="A2716" s="251"/>
      <c r="B2716" s="256"/>
      <c r="C2716" s="256"/>
      <c r="D2716" s="256"/>
      <c r="E2716" s="256"/>
      <c r="F2716" s="257"/>
      <c r="G2716" s="257"/>
      <c r="H2716" s="257"/>
      <c r="I2716" s="228"/>
      <c r="J2716" s="228"/>
      <c r="K2716" s="228"/>
      <c r="L2716"/>
      <c r="M2716"/>
    </row>
    <row r="2717" spans="1:13" s="125" customFormat="1" x14ac:dyDescent="0.25">
      <c r="A2717" s="251"/>
      <c r="B2717" s="256"/>
      <c r="C2717" s="256"/>
      <c r="D2717" s="256"/>
      <c r="E2717" s="256"/>
      <c r="F2717" s="257"/>
      <c r="G2717" s="257"/>
      <c r="H2717" s="257"/>
      <c r="I2717" s="228"/>
      <c r="J2717" s="228"/>
      <c r="K2717" s="228"/>
      <c r="L2717"/>
      <c r="M2717"/>
    </row>
    <row r="2718" spans="1:13" s="125" customFormat="1" x14ac:dyDescent="0.25">
      <c r="A2718" s="251"/>
      <c r="B2718" s="256"/>
      <c r="C2718" s="256"/>
      <c r="D2718" s="256"/>
      <c r="E2718" s="256"/>
      <c r="F2718" s="257"/>
      <c r="G2718" s="257"/>
      <c r="H2718" s="257"/>
      <c r="I2718" s="228"/>
      <c r="J2718" s="228"/>
      <c r="K2718" s="228"/>
      <c r="L2718"/>
      <c r="M2718"/>
    </row>
    <row r="2719" spans="1:13" s="125" customFormat="1" x14ac:dyDescent="0.25">
      <c r="A2719" s="251"/>
      <c r="B2719" s="256"/>
      <c r="C2719" s="256"/>
      <c r="D2719" s="256"/>
      <c r="E2719" s="256"/>
      <c r="F2719" s="257"/>
      <c r="G2719" s="257"/>
      <c r="H2719" s="257"/>
      <c r="I2719" s="228"/>
      <c r="J2719" s="228"/>
      <c r="K2719" s="228"/>
      <c r="L2719"/>
      <c r="M2719"/>
    </row>
    <row r="2720" spans="1:13" s="125" customFormat="1" x14ac:dyDescent="0.25">
      <c r="A2720" s="251"/>
      <c r="B2720" s="256"/>
      <c r="C2720" s="256"/>
      <c r="D2720" s="256"/>
      <c r="E2720" s="256"/>
      <c r="F2720" s="257"/>
      <c r="G2720" s="257"/>
      <c r="H2720" s="257"/>
      <c r="I2720" s="228"/>
      <c r="J2720" s="228"/>
      <c r="K2720" s="228"/>
      <c r="L2720"/>
      <c r="M2720"/>
    </row>
    <row r="2721" spans="1:13" s="125" customFormat="1" x14ac:dyDescent="0.25">
      <c r="A2721" s="251"/>
      <c r="B2721" s="256"/>
      <c r="C2721" s="256"/>
      <c r="D2721" s="256"/>
      <c r="E2721" s="256"/>
      <c r="F2721" s="257"/>
      <c r="G2721" s="257"/>
      <c r="H2721" s="257"/>
      <c r="I2721" s="228"/>
      <c r="J2721" s="228"/>
      <c r="K2721" s="228"/>
      <c r="L2721"/>
      <c r="M2721"/>
    </row>
    <row r="2722" spans="1:13" s="125" customFormat="1" x14ac:dyDescent="0.25">
      <c r="A2722" s="251"/>
      <c r="B2722" s="256"/>
      <c r="C2722" s="256"/>
      <c r="D2722" s="256"/>
      <c r="E2722" s="256"/>
      <c r="F2722" s="257"/>
      <c r="G2722" s="257"/>
      <c r="H2722" s="257"/>
      <c r="I2722" s="228"/>
      <c r="J2722" s="228"/>
      <c r="K2722" s="228"/>
      <c r="L2722"/>
      <c r="M2722"/>
    </row>
    <row r="2723" spans="1:13" s="125" customFormat="1" x14ac:dyDescent="0.25">
      <c r="A2723" s="251"/>
      <c r="B2723" s="256"/>
      <c r="C2723" s="256"/>
      <c r="D2723" s="256"/>
      <c r="E2723" s="256"/>
      <c r="F2723" s="257"/>
      <c r="G2723" s="257"/>
      <c r="H2723" s="257"/>
      <c r="I2723" s="228"/>
      <c r="J2723" s="228"/>
      <c r="K2723" s="228"/>
      <c r="L2723"/>
      <c r="M2723"/>
    </row>
    <row r="2724" spans="1:13" s="125" customFormat="1" x14ac:dyDescent="0.25">
      <c r="A2724" s="251"/>
      <c r="B2724" s="256"/>
      <c r="C2724" s="256"/>
      <c r="D2724" s="256"/>
      <c r="E2724" s="256"/>
      <c r="F2724" s="257"/>
      <c r="G2724" s="257"/>
      <c r="H2724" s="257"/>
      <c r="I2724" s="228"/>
      <c r="J2724" s="228"/>
      <c r="K2724" s="228"/>
      <c r="L2724"/>
      <c r="M2724"/>
    </row>
    <row r="2725" spans="1:13" s="125" customFormat="1" x14ac:dyDescent="0.25">
      <c r="A2725" s="251"/>
      <c r="B2725" s="256"/>
      <c r="C2725" s="256"/>
      <c r="D2725" s="256"/>
      <c r="E2725" s="256"/>
      <c r="F2725" s="257"/>
      <c r="G2725" s="257"/>
      <c r="H2725" s="257"/>
      <c r="I2725" s="228"/>
      <c r="J2725" s="228"/>
      <c r="K2725" s="228"/>
      <c r="L2725"/>
      <c r="M2725"/>
    </row>
    <row r="2726" spans="1:13" s="125" customFormat="1" x14ac:dyDescent="0.25">
      <c r="A2726" s="251"/>
      <c r="B2726" s="256"/>
      <c r="C2726" s="256"/>
      <c r="D2726" s="256"/>
      <c r="E2726" s="256"/>
      <c r="F2726" s="257"/>
      <c r="G2726" s="257"/>
      <c r="H2726" s="257"/>
      <c r="I2726" s="228"/>
      <c r="J2726" s="228"/>
      <c r="K2726" s="228"/>
      <c r="L2726"/>
      <c r="M2726"/>
    </row>
    <row r="2727" spans="1:13" s="125" customFormat="1" x14ac:dyDescent="0.25">
      <c r="A2727" s="251"/>
      <c r="B2727" s="256"/>
      <c r="C2727" s="256"/>
      <c r="D2727" s="256"/>
      <c r="E2727" s="256"/>
      <c r="F2727" s="257"/>
      <c r="G2727" s="257"/>
      <c r="H2727" s="257"/>
      <c r="I2727" s="228"/>
      <c r="J2727" s="228"/>
      <c r="K2727" s="228"/>
      <c r="L2727"/>
      <c r="M2727"/>
    </row>
    <row r="2728" spans="1:13" s="125" customFormat="1" x14ac:dyDescent="0.25">
      <c r="A2728" s="251"/>
      <c r="B2728" s="256"/>
      <c r="C2728" s="256"/>
      <c r="D2728" s="256"/>
      <c r="E2728" s="256"/>
      <c r="F2728" s="257"/>
      <c r="G2728" s="257"/>
      <c r="H2728" s="257"/>
      <c r="I2728" s="228"/>
      <c r="J2728" s="228"/>
      <c r="K2728" s="228"/>
      <c r="L2728"/>
      <c r="M2728"/>
    </row>
    <row r="2729" spans="1:13" s="125" customFormat="1" x14ac:dyDescent="0.25">
      <c r="A2729" s="251"/>
      <c r="B2729" s="256"/>
      <c r="C2729" s="256"/>
      <c r="D2729" s="256"/>
      <c r="E2729" s="256"/>
      <c r="F2729" s="257"/>
      <c r="G2729" s="257"/>
      <c r="H2729" s="257"/>
      <c r="I2729" s="228"/>
      <c r="J2729" s="228"/>
      <c r="K2729" s="228"/>
      <c r="L2729"/>
      <c r="M2729"/>
    </row>
    <row r="2730" spans="1:13" s="125" customFormat="1" x14ac:dyDescent="0.25">
      <c r="A2730" s="251"/>
      <c r="B2730" s="256"/>
      <c r="C2730" s="256"/>
      <c r="D2730" s="256"/>
      <c r="E2730" s="256"/>
      <c r="F2730" s="257"/>
      <c r="G2730" s="257"/>
      <c r="H2730" s="257"/>
      <c r="I2730" s="228"/>
      <c r="J2730" s="228"/>
      <c r="K2730" s="228"/>
      <c r="L2730"/>
      <c r="M2730"/>
    </row>
    <row r="2731" spans="1:13" s="125" customFormat="1" x14ac:dyDescent="0.25">
      <c r="A2731" s="251"/>
      <c r="B2731" s="256"/>
      <c r="C2731" s="256"/>
      <c r="D2731" s="256"/>
      <c r="E2731" s="256"/>
      <c r="F2731" s="257"/>
      <c r="G2731" s="257"/>
      <c r="H2731" s="257"/>
      <c r="I2731" s="228"/>
      <c r="J2731" s="228"/>
      <c r="K2731" s="228"/>
      <c r="L2731"/>
      <c r="M2731"/>
    </row>
    <row r="2732" spans="1:13" s="125" customFormat="1" x14ac:dyDescent="0.25">
      <c r="A2732" s="251"/>
      <c r="B2732" s="256"/>
      <c r="C2732" s="256"/>
      <c r="D2732" s="256"/>
      <c r="E2732" s="256"/>
      <c r="F2732" s="257"/>
      <c r="G2732" s="257"/>
      <c r="H2732" s="257"/>
      <c r="I2732" s="228"/>
      <c r="J2732" s="228"/>
      <c r="K2732" s="228"/>
      <c r="L2732"/>
      <c r="M2732"/>
    </row>
    <row r="2733" spans="1:13" s="125" customFormat="1" x14ac:dyDescent="0.25">
      <c r="A2733" s="251"/>
      <c r="B2733" s="256"/>
      <c r="C2733" s="256"/>
      <c r="D2733" s="256"/>
      <c r="E2733" s="256"/>
      <c r="F2733" s="257"/>
      <c r="G2733" s="257"/>
      <c r="H2733" s="257"/>
      <c r="I2733" s="228"/>
      <c r="J2733" s="228"/>
      <c r="K2733" s="228"/>
      <c r="L2733"/>
      <c r="M2733"/>
    </row>
    <row r="2734" spans="1:13" s="125" customFormat="1" x14ac:dyDescent="0.25">
      <c r="A2734" s="251"/>
      <c r="B2734" s="256"/>
      <c r="C2734" s="256"/>
      <c r="D2734" s="256"/>
      <c r="E2734" s="256"/>
      <c r="F2734" s="257"/>
      <c r="G2734" s="257"/>
      <c r="H2734" s="257"/>
      <c r="I2734" s="228"/>
      <c r="J2734" s="228"/>
      <c r="K2734" s="228"/>
      <c r="L2734"/>
      <c r="M2734"/>
    </row>
    <row r="2735" spans="1:13" s="125" customFormat="1" x14ac:dyDescent="0.25">
      <c r="A2735" s="251"/>
      <c r="B2735" s="256"/>
      <c r="C2735" s="256"/>
      <c r="D2735" s="256"/>
      <c r="E2735" s="256"/>
      <c r="F2735" s="257"/>
      <c r="G2735" s="257"/>
      <c r="H2735" s="257"/>
      <c r="I2735" s="228"/>
      <c r="J2735" s="228"/>
      <c r="K2735" s="228"/>
      <c r="L2735"/>
      <c r="M2735"/>
    </row>
    <row r="2736" spans="1:13" s="125" customFormat="1" x14ac:dyDescent="0.25">
      <c r="A2736" s="251"/>
      <c r="B2736" s="256"/>
      <c r="C2736" s="256"/>
      <c r="D2736" s="256"/>
      <c r="E2736" s="256"/>
      <c r="F2736" s="257"/>
      <c r="G2736" s="257"/>
      <c r="H2736" s="257"/>
      <c r="I2736" s="228"/>
      <c r="J2736" s="228"/>
      <c r="K2736" s="228"/>
      <c r="L2736"/>
      <c r="M2736"/>
    </row>
    <row r="2737" spans="1:13" s="125" customFormat="1" x14ac:dyDescent="0.25">
      <c r="A2737" s="251"/>
      <c r="B2737" s="256"/>
      <c r="C2737" s="256"/>
      <c r="D2737" s="256"/>
      <c r="E2737" s="256"/>
      <c r="F2737" s="257"/>
      <c r="G2737" s="257"/>
      <c r="H2737" s="257"/>
      <c r="I2737" s="228"/>
      <c r="J2737" s="228"/>
      <c r="K2737" s="228"/>
      <c r="L2737"/>
      <c r="M2737"/>
    </row>
    <row r="2738" spans="1:13" s="125" customFormat="1" x14ac:dyDescent="0.25">
      <c r="A2738" s="251"/>
      <c r="B2738" s="256"/>
      <c r="C2738" s="256"/>
      <c r="D2738" s="256"/>
      <c r="E2738" s="256"/>
      <c r="F2738" s="257"/>
      <c r="G2738" s="257"/>
      <c r="H2738" s="257"/>
      <c r="I2738" s="228"/>
      <c r="J2738" s="228"/>
      <c r="K2738" s="228"/>
      <c r="L2738"/>
      <c r="M2738"/>
    </row>
    <row r="2739" spans="1:13" s="125" customFormat="1" x14ac:dyDescent="0.25">
      <c r="A2739" s="251"/>
      <c r="B2739" s="256"/>
      <c r="C2739" s="256"/>
      <c r="D2739" s="256"/>
      <c r="E2739" s="256"/>
      <c r="F2739" s="257"/>
      <c r="G2739" s="257"/>
      <c r="H2739" s="257"/>
      <c r="I2739" s="228"/>
      <c r="J2739" s="228"/>
      <c r="K2739" s="228"/>
      <c r="L2739"/>
      <c r="M2739"/>
    </row>
    <row r="2740" spans="1:13" s="125" customFormat="1" x14ac:dyDescent="0.25">
      <c r="A2740" s="251"/>
      <c r="B2740" s="256"/>
      <c r="C2740" s="256"/>
      <c r="D2740" s="256"/>
      <c r="E2740" s="256"/>
      <c r="F2740" s="257"/>
      <c r="G2740" s="257"/>
      <c r="H2740" s="257"/>
      <c r="I2740" s="228"/>
      <c r="J2740" s="228"/>
      <c r="K2740" s="228"/>
      <c r="L2740"/>
      <c r="M2740"/>
    </row>
    <row r="2741" spans="1:13" s="125" customFormat="1" x14ac:dyDescent="0.25">
      <c r="A2741" s="251"/>
      <c r="B2741" s="256"/>
      <c r="C2741" s="256"/>
      <c r="D2741" s="256"/>
      <c r="E2741" s="256"/>
      <c r="F2741" s="257"/>
      <c r="G2741" s="257"/>
      <c r="H2741" s="257"/>
      <c r="I2741" s="228"/>
      <c r="J2741" s="228"/>
      <c r="K2741" s="228"/>
      <c r="L2741"/>
      <c r="M2741"/>
    </row>
    <row r="2742" spans="1:13" s="125" customFormat="1" x14ac:dyDescent="0.25">
      <c r="A2742" s="251"/>
      <c r="B2742" s="256"/>
      <c r="C2742" s="256"/>
      <c r="D2742" s="256"/>
      <c r="E2742" s="256"/>
      <c r="F2742" s="257"/>
      <c r="G2742" s="257"/>
      <c r="H2742" s="257"/>
      <c r="I2742" s="228"/>
      <c r="J2742" s="228"/>
      <c r="K2742" s="228"/>
      <c r="L2742"/>
      <c r="M2742"/>
    </row>
    <row r="2743" spans="1:13" s="125" customFormat="1" x14ac:dyDescent="0.25">
      <c r="A2743" s="251"/>
      <c r="B2743" s="256"/>
      <c r="C2743" s="256"/>
      <c r="D2743" s="256"/>
      <c r="E2743" s="256"/>
      <c r="F2743" s="257"/>
      <c r="G2743" s="257"/>
      <c r="H2743" s="257"/>
      <c r="I2743" s="228"/>
      <c r="J2743" s="228"/>
      <c r="K2743" s="228"/>
      <c r="L2743"/>
      <c r="M2743"/>
    </row>
    <row r="2744" spans="1:13" s="125" customFormat="1" x14ac:dyDescent="0.25">
      <c r="A2744" s="251"/>
      <c r="B2744" s="256"/>
      <c r="C2744" s="256"/>
      <c r="D2744" s="256"/>
      <c r="E2744" s="256"/>
      <c r="F2744" s="257"/>
      <c r="G2744" s="257"/>
      <c r="H2744" s="257"/>
      <c r="I2744" s="228"/>
      <c r="J2744" s="228"/>
      <c r="K2744" s="228"/>
      <c r="L2744"/>
      <c r="M2744"/>
    </row>
    <row r="2745" spans="1:13" s="125" customFormat="1" x14ac:dyDescent="0.25">
      <c r="A2745" s="251"/>
      <c r="B2745" s="256"/>
      <c r="C2745" s="256"/>
      <c r="D2745" s="256"/>
      <c r="E2745" s="256"/>
      <c r="F2745" s="257"/>
      <c r="G2745" s="257"/>
      <c r="H2745" s="257"/>
      <c r="I2745" s="228"/>
      <c r="J2745" s="228"/>
      <c r="K2745" s="228"/>
      <c r="L2745"/>
      <c r="M2745"/>
    </row>
    <row r="2746" spans="1:13" s="125" customFormat="1" x14ac:dyDescent="0.25">
      <c r="A2746" s="251"/>
      <c r="B2746" s="256"/>
      <c r="C2746" s="256"/>
      <c r="D2746" s="256"/>
      <c r="E2746" s="256"/>
      <c r="F2746" s="257"/>
      <c r="G2746" s="257"/>
      <c r="H2746" s="257"/>
      <c r="I2746" s="228"/>
      <c r="J2746" s="228"/>
      <c r="K2746" s="228"/>
      <c r="L2746"/>
      <c r="M2746"/>
    </row>
    <row r="2747" spans="1:13" s="125" customFormat="1" x14ac:dyDescent="0.25">
      <c r="A2747" s="251"/>
      <c r="B2747" s="256"/>
      <c r="C2747" s="256"/>
      <c r="D2747" s="256"/>
      <c r="E2747" s="256"/>
      <c r="F2747" s="257"/>
      <c r="G2747" s="257"/>
      <c r="H2747" s="257"/>
      <c r="I2747" s="228"/>
      <c r="J2747" s="228"/>
      <c r="K2747" s="228"/>
      <c r="L2747"/>
      <c r="M2747"/>
    </row>
    <row r="2748" spans="1:13" s="125" customFormat="1" x14ac:dyDescent="0.25">
      <c r="A2748" s="251"/>
      <c r="B2748" s="256"/>
      <c r="C2748" s="256"/>
      <c r="D2748" s="256"/>
      <c r="E2748" s="256"/>
      <c r="F2748" s="257"/>
      <c r="G2748" s="257"/>
      <c r="H2748" s="257"/>
      <c r="I2748" s="228"/>
      <c r="J2748" s="228"/>
      <c r="K2748" s="228"/>
      <c r="L2748"/>
      <c r="M2748"/>
    </row>
    <row r="2749" spans="1:13" s="125" customFormat="1" x14ac:dyDescent="0.25">
      <c r="A2749" s="251"/>
      <c r="B2749" s="256"/>
      <c r="C2749" s="256"/>
      <c r="D2749" s="256"/>
      <c r="E2749" s="256"/>
      <c r="F2749" s="257"/>
      <c r="G2749" s="257"/>
      <c r="H2749" s="257"/>
      <c r="I2749" s="228"/>
      <c r="J2749" s="228"/>
      <c r="K2749" s="228"/>
      <c r="L2749"/>
      <c r="M2749"/>
    </row>
    <row r="2750" spans="1:13" s="125" customFormat="1" x14ac:dyDescent="0.25">
      <c r="A2750" s="251"/>
      <c r="B2750" s="256"/>
      <c r="C2750" s="256"/>
      <c r="D2750" s="256"/>
      <c r="E2750" s="256"/>
      <c r="F2750" s="257"/>
      <c r="G2750" s="257"/>
      <c r="H2750" s="257"/>
      <c r="I2750" s="228"/>
      <c r="J2750" s="228"/>
      <c r="K2750" s="228"/>
      <c r="L2750"/>
      <c r="M2750"/>
    </row>
    <row r="2751" spans="1:13" s="125" customFormat="1" x14ac:dyDescent="0.25">
      <c r="A2751" s="251"/>
      <c r="B2751" s="256"/>
      <c r="C2751" s="256"/>
      <c r="D2751" s="256"/>
      <c r="E2751" s="256"/>
      <c r="F2751" s="257"/>
      <c r="G2751" s="257"/>
      <c r="H2751" s="257"/>
      <c r="I2751" s="228"/>
      <c r="J2751" s="228"/>
      <c r="K2751" s="228"/>
      <c r="L2751"/>
      <c r="M2751"/>
    </row>
    <row r="2752" spans="1:13" s="125" customFormat="1" x14ac:dyDescent="0.25">
      <c r="A2752" s="251"/>
      <c r="B2752" s="256"/>
      <c r="C2752" s="256"/>
      <c r="D2752" s="256"/>
      <c r="E2752" s="256"/>
      <c r="F2752" s="257"/>
      <c r="G2752" s="257"/>
      <c r="H2752" s="257"/>
      <c r="I2752" s="228"/>
      <c r="J2752" s="228"/>
      <c r="K2752" s="228"/>
      <c r="L2752"/>
      <c r="M2752"/>
    </row>
    <row r="2753" spans="1:13" s="125" customFormat="1" x14ac:dyDescent="0.25">
      <c r="A2753" s="251"/>
      <c r="B2753" s="256"/>
      <c r="C2753" s="256"/>
      <c r="D2753" s="256"/>
      <c r="E2753" s="256"/>
      <c r="F2753" s="257"/>
      <c r="G2753" s="257"/>
      <c r="H2753" s="257"/>
      <c r="I2753" s="228"/>
      <c r="J2753" s="228"/>
      <c r="K2753" s="228"/>
      <c r="L2753"/>
      <c r="M2753"/>
    </row>
    <row r="2754" spans="1:13" s="125" customFormat="1" x14ac:dyDescent="0.25">
      <c r="A2754" s="251"/>
      <c r="B2754" s="256"/>
      <c r="C2754" s="256"/>
      <c r="D2754" s="256"/>
      <c r="E2754" s="256"/>
      <c r="F2754" s="257"/>
      <c r="G2754" s="257"/>
      <c r="H2754" s="257"/>
      <c r="I2754" s="228"/>
      <c r="J2754" s="228"/>
      <c r="K2754" s="228"/>
      <c r="L2754"/>
      <c r="M2754"/>
    </row>
    <row r="2755" spans="1:13" s="125" customFormat="1" x14ac:dyDescent="0.25">
      <c r="A2755" s="251"/>
      <c r="B2755" s="256"/>
      <c r="C2755" s="256"/>
      <c r="D2755" s="256"/>
      <c r="E2755" s="256"/>
      <c r="F2755" s="257"/>
      <c r="G2755" s="257"/>
      <c r="H2755" s="257"/>
      <c r="I2755" s="228"/>
      <c r="J2755" s="228"/>
      <c r="K2755" s="228"/>
      <c r="L2755"/>
      <c r="M2755"/>
    </row>
    <row r="2756" spans="1:13" s="125" customFormat="1" x14ac:dyDescent="0.25">
      <c r="A2756" s="251"/>
      <c r="B2756" s="256"/>
      <c r="C2756" s="256"/>
      <c r="D2756" s="256"/>
      <c r="E2756" s="256"/>
      <c r="F2756" s="257"/>
      <c r="G2756" s="257"/>
      <c r="H2756" s="257"/>
      <c r="I2756" s="228"/>
      <c r="J2756" s="228"/>
      <c r="K2756" s="228"/>
      <c r="L2756"/>
      <c r="M2756"/>
    </row>
    <row r="2757" spans="1:13" s="125" customFormat="1" x14ac:dyDescent="0.25">
      <c r="A2757" s="251"/>
      <c r="B2757" s="256"/>
      <c r="C2757" s="256"/>
      <c r="D2757" s="256"/>
      <c r="E2757" s="256"/>
      <c r="F2757" s="257"/>
      <c r="G2757" s="257"/>
      <c r="H2757" s="257"/>
      <c r="I2757" s="228"/>
      <c r="J2757" s="228"/>
      <c r="K2757" s="228"/>
      <c r="L2757"/>
      <c r="M2757"/>
    </row>
    <row r="2758" spans="1:13" s="125" customFormat="1" x14ac:dyDescent="0.25">
      <c r="A2758" s="251"/>
      <c r="B2758" s="256"/>
      <c r="C2758" s="256"/>
      <c r="D2758" s="256"/>
      <c r="E2758" s="256"/>
      <c r="F2758" s="257"/>
      <c r="G2758" s="257"/>
      <c r="H2758" s="257"/>
      <c r="I2758" s="228"/>
      <c r="J2758" s="228"/>
      <c r="K2758" s="228"/>
      <c r="L2758"/>
      <c r="M2758"/>
    </row>
    <row r="2759" spans="1:13" s="125" customFormat="1" x14ac:dyDescent="0.25">
      <c r="A2759" s="251"/>
      <c r="B2759" s="256"/>
      <c r="C2759" s="256"/>
      <c r="D2759" s="256"/>
      <c r="E2759" s="256"/>
      <c r="F2759" s="257"/>
      <c r="G2759" s="257"/>
      <c r="H2759" s="257"/>
      <c r="I2759" s="228"/>
      <c r="J2759" s="228"/>
      <c r="K2759" s="228"/>
      <c r="L2759"/>
      <c r="M2759"/>
    </row>
    <row r="2760" spans="1:13" s="125" customFormat="1" x14ac:dyDescent="0.25">
      <c r="A2760" s="251"/>
      <c r="B2760" s="256"/>
      <c r="C2760" s="256"/>
      <c r="D2760" s="256"/>
      <c r="E2760" s="256"/>
      <c r="F2760" s="257"/>
      <c r="G2760" s="257"/>
      <c r="H2760" s="257"/>
      <c r="I2760" s="228"/>
      <c r="J2760" s="228"/>
      <c r="K2760" s="228"/>
      <c r="L2760"/>
      <c r="M2760"/>
    </row>
    <row r="2761" spans="1:13" s="125" customFormat="1" x14ac:dyDescent="0.25">
      <c r="A2761" s="251"/>
      <c r="B2761" s="256"/>
      <c r="C2761" s="256"/>
      <c r="D2761" s="256"/>
      <c r="E2761" s="256"/>
      <c r="F2761" s="257"/>
      <c r="G2761" s="257"/>
      <c r="H2761" s="257"/>
      <c r="I2761" s="228"/>
      <c r="J2761" s="228"/>
      <c r="K2761" s="228"/>
      <c r="L2761"/>
      <c r="M2761"/>
    </row>
    <row r="2762" spans="1:13" s="125" customFormat="1" x14ac:dyDescent="0.25">
      <c r="A2762" s="251"/>
      <c r="B2762" s="256"/>
      <c r="C2762" s="256"/>
      <c r="D2762" s="256"/>
      <c r="E2762" s="256"/>
      <c r="F2762" s="257"/>
      <c r="G2762" s="257"/>
      <c r="H2762" s="257"/>
      <c r="I2762" s="228"/>
      <c r="J2762" s="228"/>
      <c r="K2762" s="228"/>
      <c r="L2762"/>
      <c r="M2762"/>
    </row>
    <row r="2763" spans="1:13" s="125" customFormat="1" x14ac:dyDescent="0.25">
      <c r="A2763" s="251"/>
      <c r="B2763" s="256"/>
      <c r="C2763" s="256"/>
      <c r="D2763" s="256"/>
      <c r="E2763" s="256"/>
      <c r="F2763" s="257"/>
      <c r="G2763" s="257"/>
      <c r="H2763" s="257"/>
      <c r="I2763" s="228"/>
      <c r="J2763" s="228"/>
      <c r="K2763" s="228"/>
      <c r="L2763"/>
      <c r="M2763"/>
    </row>
    <row r="2764" spans="1:13" s="125" customFormat="1" x14ac:dyDescent="0.25">
      <c r="A2764" s="251"/>
      <c r="B2764" s="256"/>
      <c r="C2764" s="256"/>
      <c r="D2764" s="256"/>
      <c r="E2764" s="256"/>
      <c r="F2764" s="257"/>
      <c r="G2764" s="257"/>
      <c r="H2764" s="257"/>
      <c r="I2764" s="228"/>
      <c r="J2764" s="228"/>
      <c r="K2764" s="228"/>
      <c r="L2764"/>
      <c r="M2764"/>
    </row>
    <row r="2765" spans="1:13" s="125" customFormat="1" x14ac:dyDescent="0.25">
      <c r="A2765" s="251"/>
      <c r="B2765" s="256"/>
      <c r="C2765" s="256"/>
      <c r="D2765" s="256"/>
      <c r="E2765" s="256"/>
      <c r="F2765" s="257"/>
      <c r="G2765" s="257"/>
      <c r="H2765" s="257"/>
      <c r="I2765" s="228"/>
      <c r="J2765" s="228"/>
      <c r="K2765" s="228"/>
      <c r="L2765"/>
      <c r="M2765"/>
    </row>
    <row r="2766" spans="1:13" s="125" customFormat="1" x14ac:dyDescent="0.25">
      <c r="A2766" s="251"/>
      <c r="B2766" s="256"/>
      <c r="C2766" s="256"/>
      <c r="D2766" s="256"/>
      <c r="E2766" s="256"/>
      <c r="F2766" s="257"/>
      <c r="G2766" s="257"/>
      <c r="H2766" s="257"/>
      <c r="I2766" s="228"/>
      <c r="J2766" s="228"/>
      <c r="K2766" s="228"/>
      <c r="L2766"/>
      <c r="M2766"/>
    </row>
    <row r="2767" spans="1:13" s="125" customFormat="1" x14ac:dyDescent="0.25">
      <c r="A2767" s="251"/>
      <c r="B2767" s="256"/>
      <c r="C2767" s="256"/>
      <c r="D2767" s="256"/>
      <c r="E2767" s="256"/>
      <c r="F2767" s="257"/>
      <c r="G2767" s="257"/>
      <c r="H2767" s="257"/>
      <c r="I2767" s="228"/>
      <c r="J2767" s="228"/>
      <c r="K2767" s="228"/>
      <c r="L2767"/>
      <c r="M2767"/>
    </row>
    <row r="2768" spans="1:13" s="125" customFormat="1" x14ac:dyDescent="0.25">
      <c r="A2768" s="251"/>
      <c r="B2768" s="256"/>
      <c r="C2768" s="256"/>
      <c r="D2768" s="256"/>
      <c r="E2768" s="256"/>
      <c r="F2768" s="257"/>
      <c r="G2768" s="257"/>
      <c r="H2768" s="257"/>
      <c r="I2768" s="228"/>
      <c r="J2768" s="228"/>
      <c r="K2768" s="228"/>
      <c r="L2768"/>
      <c r="M2768"/>
    </row>
    <row r="2769" spans="1:13" s="125" customFormat="1" x14ac:dyDescent="0.25">
      <c r="A2769" s="251"/>
      <c r="B2769" s="256"/>
      <c r="C2769" s="256"/>
      <c r="D2769" s="256"/>
      <c r="E2769" s="256"/>
      <c r="F2769" s="257"/>
      <c r="G2769" s="257"/>
      <c r="H2769" s="257"/>
      <c r="I2769" s="228"/>
      <c r="J2769" s="228"/>
      <c r="K2769" s="228"/>
      <c r="L2769"/>
      <c r="M2769"/>
    </row>
    <row r="2770" spans="1:13" s="125" customFormat="1" x14ac:dyDescent="0.25">
      <c r="A2770" s="251"/>
      <c r="B2770" s="256"/>
      <c r="C2770" s="256"/>
      <c r="D2770" s="256"/>
      <c r="E2770" s="256"/>
      <c r="F2770" s="257"/>
      <c r="G2770" s="257"/>
      <c r="H2770" s="257"/>
      <c r="I2770" s="228"/>
      <c r="J2770" s="228"/>
      <c r="K2770" s="228"/>
      <c r="L2770"/>
      <c r="M2770"/>
    </row>
    <row r="2771" spans="1:13" s="125" customFormat="1" x14ac:dyDescent="0.25">
      <c r="A2771" s="251"/>
      <c r="B2771" s="256"/>
      <c r="C2771" s="256"/>
      <c r="D2771" s="256"/>
      <c r="E2771" s="256"/>
      <c r="F2771" s="257"/>
      <c r="G2771" s="257"/>
      <c r="H2771" s="257"/>
      <c r="I2771" s="228"/>
      <c r="J2771" s="228"/>
      <c r="K2771" s="228"/>
      <c r="L2771"/>
      <c r="M2771"/>
    </row>
    <row r="2772" spans="1:13" s="125" customFormat="1" x14ac:dyDescent="0.25">
      <c r="A2772" s="251"/>
      <c r="B2772" s="256"/>
      <c r="C2772" s="256"/>
      <c r="D2772" s="256"/>
      <c r="E2772" s="256"/>
      <c r="F2772" s="257"/>
      <c r="G2772" s="257"/>
      <c r="H2772" s="257"/>
      <c r="I2772" s="228"/>
      <c r="J2772" s="228"/>
      <c r="K2772" s="228"/>
      <c r="L2772"/>
      <c r="M2772"/>
    </row>
    <row r="2773" spans="1:13" s="125" customFormat="1" x14ac:dyDescent="0.25">
      <c r="A2773" s="251"/>
      <c r="B2773" s="256"/>
      <c r="C2773" s="256"/>
      <c r="D2773" s="256"/>
      <c r="E2773" s="256"/>
      <c r="F2773" s="257"/>
      <c r="G2773" s="257"/>
      <c r="H2773" s="257"/>
      <c r="I2773" s="228"/>
      <c r="J2773" s="228"/>
      <c r="K2773" s="228"/>
      <c r="L2773"/>
      <c r="M2773"/>
    </row>
    <row r="2774" spans="1:13" s="125" customFormat="1" x14ac:dyDescent="0.25">
      <c r="A2774" s="251"/>
      <c r="B2774" s="256"/>
      <c r="C2774" s="256"/>
      <c r="D2774" s="256"/>
      <c r="E2774" s="256"/>
      <c r="F2774" s="257"/>
      <c r="G2774" s="257"/>
      <c r="H2774" s="257"/>
      <c r="I2774" s="228"/>
      <c r="J2774" s="228"/>
      <c r="K2774" s="228"/>
      <c r="L2774"/>
      <c r="M2774"/>
    </row>
    <row r="2775" spans="1:13" s="125" customFormat="1" x14ac:dyDescent="0.25">
      <c r="A2775" s="251"/>
      <c r="B2775" s="256"/>
      <c r="C2775" s="256"/>
      <c r="D2775" s="256"/>
      <c r="E2775" s="256"/>
      <c r="F2775" s="257"/>
      <c r="G2775" s="257"/>
      <c r="H2775" s="257"/>
      <c r="I2775" s="228"/>
      <c r="J2775" s="228"/>
      <c r="K2775" s="228"/>
      <c r="L2775"/>
      <c r="M2775"/>
    </row>
    <row r="2776" spans="1:13" s="125" customFormat="1" x14ac:dyDescent="0.25">
      <c r="A2776" s="251"/>
      <c r="B2776" s="256"/>
      <c r="C2776" s="256"/>
      <c r="D2776" s="256"/>
      <c r="E2776" s="256"/>
      <c r="F2776" s="257"/>
      <c r="G2776" s="257"/>
      <c r="H2776" s="257"/>
      <c r="I2776" s="228"/>
      <c r="J2776" s="228"/>
      <c r="K2776" s="228"/>
      <c r="L2776"/>
      <c r="M2776"/>
    </row>
    <row r="2777" spans="1:13" s="125" customFormat="1" x14ac:dyDescent="0.25">
      <c r="A2777" s="251"/>
      <c r="B2777" s="256"/>
      <c r="C2777" s="256"/>
      <c r="D2777" s="256"/>
      <c r="E2777" s="256"/>
      <c r="F2777" s="257"/>
      <c r="G2777" s="257"/>
      <c r="H2777" s="257"/>
      <c r="I2777" s="228"/>
      <c r="J2777" s="228"/>
      <c r="K2777" s="228"/>
      <c r="L2777"/>
      <c r="M2777"/>
    </row>
    <row r="2778" spans="1:13" s="125" customFormat="1" x14ac:dyDescent="0.25">
      <c r="A2778" s="251"/>
      <c r="B2778" s="256"/>
      <c r="C2778" s="256"/>
      <c r="D2778" s="256"/>
      <c r="E2778" s="256"/>
      <c r="F2778" s="257"/>
      <c r="G2778" s="257"/>
      <c r="H2778" s="257"/>
      <c r="I2778" s="228"/>
      <c r="J2778" s="228"/>
      <c r="K2778" s="228"/>
      <c r="L2778"/>
      <c r="M2778"/>
    </row>
    <row r="2779" spans="1:13" s="125" customFormat="1" x14ac:dyDescent="0.25">
      <c r="A2779" s="251"/>
      <c r="B2779" s="256"/>
      <c r="C2779" s="256"/>
      <c r="D2779" s="256"/>
      <c r="E2779" s="256"/>
      <c r="F2779" s="257"/>
      <c r="G2779" s="257"/>
      <c r="H2779" s="257"/>
      <c r="I2779" s="228"/>
      <c r="J2779" s="228"/>
      <c r="K2779" s="228"/>
      <c r="L2779"/>
      <c r="M2779"/>
    </row>
    <row r="2780" spans="1:13" s="125" customFormat="1" x14ac:dyDescent="0.25">
      <c r="A2780" s="251"/>
      <c r="B2780" s="256"/>
      <c r="C2780" s="256"/>
      <c r="D2780" s="256"/>
      <c r="E2780" s="256"/>
      <c r="F2780" s="257"/>
      <c r="G2780" s="257"/>
      <c r="H2780" s="257"/>
      <c r="I2780" s="228"/>
      <c r="J2780" s="228"/>
      <c r="K2780" s="228"/>
      <c r="L2780"/>
      <c r="M2780"/>
    </row>
    <row r="2781" spans="1:13" s="125" customFormat="1" x14ac:dyDescent="0.25">
      <c r="A2781" s="251"/>
      <c r="B2781" s="256"/>
      <c r="C2781" s="256"/>
      <c r="D2781" s="256"/>
      <c r="E2781" s="256"/>
      <c r="F2781" s="257"/>
      <c r="G2781" s="257"/>
      <c r="H2781" s="257"/>
      <c r="I2781" s="228"/>
      <c r="J2781" s="228"/>
      <c r="K2781" s="228"/>
      <c r="L2781"/>
      <c r="M2781"/>
    </row>
    <row r="2782" spans="1:13" s="125" customFormat="1" x14ac:dyDescent="0.25">
      <c r="A2782" s="251"/>
      <c r="B2782" s="256"/>
      <c r="C2782" s="256"/>
      <c r="D2782" s="256"/>
      <c r="E2782" s="256"/>
      <c r="F2782" s="257"/>
      <c r="G2782" s="257"/>
      <c r="H2782" s="257"/>
      <c r="I2782" s="228"/>
      <c r="J2782" s="228"/>
      <c r="K2782" s="228"/>
      <c r="L2782"/>
      <c r="M2782"/>
    </row>
    <row r="2783" spans="1:13" s="125" customFormat="1" x14ac:dyDescent="0.25">
      <c r="A2783" s="251"/>
      <c r="B2783" s="256"/>
      <c r="C2783" s="256"/>
      <c r="D2783" s="256"/>
      <c r="E2783" s="256"/>
      <c r="F2783" s="257"/>
      <c r="G2783" s="257"/>
      <c r="H2783" s="257"/>
      <c r="I2783" s="228"/>
      <c r="J2783" s="228"/>
      <c r="K2783" s="228"/>
      <c r="L2783"/>
      <c r="M2783"/>
    </row>
    <row r="2784" spans="1:13" s="125" customFormat="1" x14ac:dyDescent="0.25">
      <c r="A2784" s="251"/>
      <c r="B2784" s="256"/>
      <c r="C2784" s="256"/>
      <c r="D2784" s="256"/>
      <c r="E2784" s="256"/>
      <c r="F2784" s="257"/>
      <c r="G2784" s="257"/>
      <c r="H2784" s="257"/>
      <c r="I2784" s="228"/>
      <c r="J2784" s="228"/>
      <c r="K2784" s="228"/>
      <c r="L2784"/>
      <c r="M2784"/>
    </row>
    <row r="2785" spans="1:13" s="125" customFormat="1" x14ac:dyDescent="0.25">
      <c r="A2785" s="251"/>
      <c r="B2785" s="256"/>
      <c r="C2785" s="256"/>
      <c r="D2785" s="256"/>
      <c r="E2785" s="256"/>
      <c r="F2785" s="257"/>
      <c r="G2785" s="257"/>
      <c r="H2785" s="257"/>
      <c r="I2785" s="228"/>
      <c r="J2785" s="228"/>
      <c r="K2785" s="228"/>
      <c r="L2785"/>
      <c r="M2785"/>
    </row>
    <row r="2786" spans="1:13" s="125" customFormat="1" x14ac:dyDescent="0.25">
      <c r="A2786" s="251"/>
      <c r="B2786" s="256"/>
      <c r="C2786" s="256"/>
      <c r="D2786" s="256"/>
      <c r="E2786" s="256"/>
      <c r="F2786" s="257"/>
      <c r="G2786" s="257"/>
      <c r="H2786" s="257"/>
      <c r="I2786" s="228"/>
      <c r="J2786" s="228"/>
      <c r="K2786" s="228"/>
      <c r="L2786"/>
      <c r="M2786"/>
    </row>
    <row r="2787" spans="1:13" s="125" customFormat="1" x14ac:dyDescent="0.25">
      <c r="A2787" s="251"/>
      <c r="B2787" s="256"/>
      <c r="C2787" s="256"/>
      <c r="D2787" s="256"/>
      <c r="E2787" s="256"/>
      <c r="F2787" s="257"/>
      <c r="G2787" s="257"/>
      <c r="H2787" s="257"/>
      <c r="I2787" s="228"/>
      <c r="J2787" s="228"/>
      <c r="K2787" s="228"/>
      <c r="L2787"/>
      <c r="M2787"/>
    </row>
    <row r="2788" spans="1:13" s="125" customFormat="1" x14ac:dyDescent="0.25">
      <c r="A2788" s="251"/>
      <c r="B2788" s="256"/>
      <c r="C2788" s="256"/>
      <c r="D2788" s="256"/>
      <c r="E2788" s="256"/>
      <c r="F2788" s="257"/>
      <c r="G2788" s="257"/>
      <c r="H2788" s="257"/>
      <c r="I2788" s="228"/>
      <c r="J2788" s="228"/>
      <c r="K2788" s="228"/>
      <c r="L2788"/>
      <c r="M2788"/>
    </row>
    <row r="2789" spans="1:13" s="125" customFormat="1" x14ac:dyDescent="0.25">
      <c r="A2789" s="251"/>
      <c r="B2789" s="256"/>
      <c r="C2789" s="256"/>
      <c r="D2789" s="256"/>
      <c r="E2789" s="256"/>
      <c r="F2789" s="257"/>
      <c r="G2789" s="257"/>
      <c r="H2789" s="257"/>
      <c r="I2789" s="228"/>
      <c r="J2789" s="228"/>
      <c r="K2789" s="228"/>
      <c r="L2789"/>
      <c r="M2789"/>
    </row>
    <row r="2790" spans="1:13" s="125" customFormat="1" x14ac:dyDescent="0.25">
      <c r="A2790" s="251"/>
      <c r="B2790" s="256"/>
      <c r="C2790" s="256"/>
      <c r="D2790" s="256"/>
      <c r="E2790" s="256"/>
      <c r="F2790" s="257"/>
      <c r="G2790" s="257"/>
      <c r="H2790" s="257"/>
      <c r="I2790" s="228"/>
      <c r="J2790" s="228"/>
      <c r="K2790" s="228"/>
      <c r="L2790"/>
      <c r="M2790"/>
    </row>
    <row r="2791" spans="1:13" s="125" customFormat="1" x14ac:dyDescent="0.25">
      <c r="A2791" s="251"/>
      <c r="B2791" s="256"/>
      <c r="C2791" s="256"/>
      <c r="D2791" s="256"/>
      <c r="E2791" s="256"/>
      <c r="F2791" s="257"/>
      <c r="G2791" s="257"/>
      <c r="H2791" s="257"/>
      <c r="I2791" s="228"/>
      <c r="J2791" s="228"/>
      <c r="K2791" s="228"/>
      <c r="L2791"/>
      <c r="M2791"/>
    </row>
    <row r="2792" spans="1:13" s="125" customFormat="1" x14ac:dyDescent="0.25">
      <c r="A2792" s="251"/>
      <c r="B2792" s="256"/>
      <c r="C2792" s="256"/>
      <c r="D2792" s="256"/>
      <c r="E2792" s="256"/>
      <c r="F2792" s="257"/>
      <c r="G2792" s="257"/>
      <c r="H2792" s="257"/>
      <c r="I2792" s="228"/>
      <c r="J2792" s="228"/>
      <c r="K2792" s="228"/>
      <c r="L2792"/>
      <c r="M2792"/>
    </row>
    <row r="2793" spans="1:13" s="125" customFormat="1" x14ac:dyDescent="0.25">
      <c r="A2793" s="251"/>
      <c r="B2793" s="256"/>
      <c r="C2793" s="256"/>
      <c r="D2793" s="256"/>
      <c r="E2793" s="256"/>
      <c r="F2793" s="257"/>
      <c r="G2793" s="257"/>
      <c r="H2793" s="257"/>
      <c r="I2793" s="228"/>
      <c r="J2793" s="228"/>
      <c r="K2793" s="228"/>
      <c r="L2793"/>
      <c r="M2793"/>
    </row>
    <row r="2794" spans="1:13" s="125" customFormat="1" x14ac:dyDescent="0.25">
      <c r="A2794" s="251"/>
      <c r="B2794" s="256"/>
      <c r="C2794" s="256"/>
      <c r="D2794" s="256"/>
      <c r="E2794" s="256"/>
      <c r="F2794" s="257"/>
      <c r="G2794" s="257"/>
      <c r="H2794" s="257"/>
      <c r="I2794" s="228"/>
      <c r="J2794" s="228"/>
      <c r="K2794" s="228"/>
      <c r="L2794"/>
      <c r="M2794"/>
    </row>
  </sheetData>
  <mergeCells count="10">
    <mergeCell ref="H6:H7"/>
    <mergeCell ref="F1:H1"/>
    <mergeCell ref="A3:H3"/>
    <mergeCell ref="A6:A7"/>
    <mergeCell ref="B6:B7"/>
    <mergeCell ref="C6:C7"/>
    <mergeCell ref="D6:D7"/>
    <mergeCell ref="E6:E7"/>
    <mergeCell ref="F6:F7"/>
    <mergeCell ref="G6:G7"/>
  </mergeCells>
  <pageMargins left="0.39370078740157483" right="0" top="0" bottom="0" header="0.51181102362204722" footer="0.51181102362204722"/>
  <pageSetup paperSize="9" scale="63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9 мес 2020</vt:lpstr>
      <vt:lpstr>'9 мес 2020'!Область_печати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майкова</dc:creator>
  <cp:lastModifiedBy>Чернядева Татьяна Геннадьевна</cp:lastModifiedBy>
  <dcterms:created xsi:type="dcterms:W3CDTF">2020-10-19T07:30:35Z</dcterms:created>
  <dcterms:modified xsi:type="dcterms:W3CDTF">2020-10-22T05:38:20Z</dcterms:modified>
</cp:coreProperties>
</file>